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5" yWindow="525" windowWidth="11970" windowHeight="2445" tabRatio="747" firstSheet="7" activeTab="19"/>
  </bookViews>
  <sheets>
    <sheet name="ProtectSettings" sheetId="45" state="hidden" r:id="rId1"/>
    <sheet name="פרמטרים" sheetId="5" r:id="rId2"/>
    <sheet name="סיווג" sheetId="1" r:id="rId3"/>
    <sheet name="הפקות" sheetId="3" r:id="rId4"/>
    <sheet name="הרצות" sheetId="28" r:id="rId5"/>
    <sheet name="מיקום התיאטרון" sheetId="8" r:id="rId6"/>
    <sheet name="מיקום ההרצות" sheetId="38" r:id="rId7"/>
    <sheet name="וותק" sheetId="12" r:id="rId8"/>
    <sheet name="ייחוד תרבותי" sheetId="13" r:id="rId9"/>
    <sheet name="רפרטואר" sheetId="14" r:id="rId10"/>
    <sheet name="מורכבות הפקות" sheetId="29" r:id="rId11"/>
    <sheet name="עידוד יוצרים" sheetId="30" r:id="rId12"/>
    <sheet name="תרומה לקהילה" sheetId="31" r:id="rId13"/>
    <sheet name="פרינג" sheetId="32" r:id="rId14"/>
    <sheet name="התחשיב הבסיסי" sheetId="19" r:id="rId15"/>
    <sheet name="תמיכה ציבורית אחרת" sheetId="20" r:id="rId16"/>
    <sheet name="ייצוב" sheetId="33" r:id="rId17"/>
    <sheet name="הגנה" sheetId="37" r:id="rId18"/>
    <sheet name="חריגות שכר" sheetId="36" r:id="rId19"/>
    <sheet name="גירעון" sheetId="42" r:id="rId20"/>
    <sheet name="הגנה (2)" sheetId="43" state="hidden" r:id="rId21"/>
    <sheet name="הרכב חברי הוועדה" sheetId="40" r:id="rId22"/>
    <sheet name="סיכום" sheetId="25" r:id="rId23"/>
  </sheets>
  <definedNames>
    <definedName name="a" localSheetId="19">#REF!</definedName>
    <definedName name="a" localSheetId="20">#REF!</definedName>
    <definedName name="a" localSheetId="21">#REF!</definedName>
    <definedName name="a" localSheetId="6">#REF!</definedName>
    <definedName name="a">#REF!</definedName>
    <definedName name="aa" localSheetId="20">#REF!</definedName>
    <definedName name="aa">#REF!</definedName>
    <definedName name="b" localSheetId="19">#REF!</definedName>
    <definedName name="b" localSheetId="20">#REF!</definedName>
    <definedName name="b">#REF!</definedName>
    <definedName name="DDDD" localSheetId="19">#REF!</definedName>
    <definedName name="DDDD" localSheetId="20">#REF!</definedName>
    <definedName name="DDDD" localSheetId="21">#REF!</definedName>
    <definedName name="DDDD">#REF!</definedName>
    <definedName name="ee" localSheetId="19">#REF!</definedName>
    <definedName name="ee" localSheetId="20">#REF!</definedName>
    <definedName name="ee">#REF!</definedName>
    <definedName name="solver_adj" localSheetId="17" hidden="1">הגנה!#REF!</definedName>
    <definedName name="solver_adj" localSheetId="16" hidden="1">ייצוב!#REF!</definedName>
    <definedName name="solver_cvg" localSheetId="17" hidden="1">0.0001</definedName>
    <definedName name="solver_cvg" localSheetId="16" hidden="1">0.0001</definedName>
    <definedName name="solver_drv" localSheetId="17" hidden="1">1</definedName>
    <definedName name="solver_drv" localSheetId="16" hidden="1">1</definedName>
    <definedName name="solver_est" localSheetId="17" hidden="1">1</definedName>
    <definedName name="solver_est" localSheetId="16" hidden="1">1</definedName>
    <definedName name="solver_itr" localSheetId="17" hidden="1">100</definedName>
    <definedName name="solver_itr" localSheetId="16" hidden="1">100</definedName>
    <definedName name="solver_lhs1" localSheetId="17" hidden="1">הגנה!$HD$42</definedName>
    <definedName name="solver_lhs1" localSheetId="16" hidden="1">ייצוב!#REF!</definedName>
    <definedName name="solver_lhs2" localSheetId="17" hidden="1">הגנה!#REF!</definedName>
    <definedName name="solver_lhs2" localSheetId="16" hidden="1">ייצוב!#REF!</definedName>
    <definedName name="solver_lhs3" localSheetId="17" hidden="1">הגנה!#REF!</definedName>
    <definedName name="solver_lhs3" localSheetId="16" hidden="1">ייצוב!#REF!</definedName>
    <definedName name="solver_lin" localSheetId="17" hidden="1">2</definedName>
    <definedName name="solver_lin" localSheetId="16" hidden="1">2</definedName>
    <definedName name="solver_neg" localSheetId="17" hidden="1">1</definedName>
    <definedName name="solver_neg" localSheetId="16" hidden="1">1</definedName>
    <definedName name="solver_num" localSheetId="17" hidden="1">1</definedName>
    <definedName name="solver_num" localSheetId="16" hidden="1">3</definedName>
    <definedName name="solver_nwt" localSheetId="17" hidden="1">1</definedName>
    <definedName name="solver_nwt" localSheetId="16" hidden="1">1</definedName>
    <definedName name="solver_opt" localSheetId="17" hidden="1">הגנה!#REF!</definedName>
    <definedName name="solver_opt" localSheetId="16" hidden="1">ייצוב!#REF!</definedName>
    <definedName name="solver_pre" localSheetId="17" hidden="1">0.000001</definedName>
    <definedName name="solver_pre" localSheetId="16" hidden="1">0.000001</definedName>
    <definedName name="solver_rel1" localSheetId="17" hidden="1">2</definedName>
    <definedName name="solver_rel1" localSheetId="16" hidden="1">3</definedName>
    <definedName name="solver_rel2" localSheetId="17" hidden="1">3</definedName>
    <definedName name="solver_rel2" localSheetId="16" hidden="1">3</definedName>
    <definedName name="solver_rel3" localSheetId="17" hidden="1">3</definedName>
    <definedName name="solver_rel3" localSheetId="16" hidden="1">3</definedName>
    <definedName name="solver_rhs1" localSheetId="17" hidden="1">0</definedName>
    <definedName name="solver_rhs1" localSheetId="16" hidden="1">0.8*AVERAGE(ייצוב!#REF!,ייצוב!#REF!)</definedName>
    <definedName name="solver_rhs2" localSheetId="17" hidden="1">0.8*AVERAGE(הגנה!#REF!,הגנה!#REF!)</definedName>
    <definedName name="solver_rhs2" localSheetId="16" hidden="1">0.8*AVERAGE(ייצוב!#REF!,ייצוב!#REF!)</definedName>
    <definedName name="solver_rhs3" localSheetId="17" hidden="1">0.8*AVERAGE(הגנה!#REF!,הגנה!#REF!)</definedName>
    <definedName name="solver_rhs3" localSheetId="16" hidden="1">0.8*AVERAGE(ייצוב!#REF!,ייצוב!#REF!)</definedName>
    <definedName name="solver_scl" localSheetId="17" hidden="1">2</definedName>
    <definedName name="solver_scl" localSheetId="16" hidden="1">2</definedName>
    <definedName name="solver_sho" localSheetId="17" hidden="1">2</definedName>
    <definedName name="solver_sho" localSheetId="16" hidden="1">2</definedName>
    <definedName name="solver_tim" localSheetId="17" hidden="1">100</definedName>
    <definedName name="solver_tim" localSheetId="16" hidden="1">100</definedName>
    <definedName name="solver_tol" localSheetId="17" hidden="1">0.05</definedName>
    <definedName name="solver_tol" localSheetId="16" hidden="1">0.05</definedName>
    <definedName name="solver_typ" localSheetId="17" hidden="1">1</definedName>
    <definedName name="solver_typ" localSheetId="16" hidden="1">3</definedName>
    <definedName name="solver_val" localSheetId="17" hidden="1">1</definedName>
    <definedName name="solver_val" localSheetId="16" hidden="1">1</definedName>
    <definedName name="_xlnm.Print_Area" localSheetId="19">גירעון!$A$1:$R$44</definedName>
    <definedName name="_xlnm.Print_Area" localSheetId="17">הגנה!$A$1:$HA$42</definedName>
    <definedName name="_xlnm.Print_Area" localSheetId="20">'הגנה (2)'!$B$1:$N$64</definedName>
    <definedName name="_xlnm.Print_Area" localSheetId="3">הפקות!$A$1:$H$39</definedName>
    <definedName name="_xlnm.Print_Area" localSheetId="21">'הרכב חברי הוועדה'!$A$1:$J$43</definedName>
    <definedName name="_xlnm.Print_Area" localSheetId="4">הרצות!$A$1:$H$39</definedName>
    <definedName name="_xlnm.Print_Area" localSheetId="14">'התחשיב הבסיסי'!$A$1:$P$40</definedName>
    <definedName name="_xlnm.Print_Area" localSheetId="7">וותק!$A$1:$F$42</definedName>
    <definedName name="_xlnm.Print_Area" localSheetId="18">'חריגות שכר'!$A$1:$J$39</definedName>
    <definedName name="_xlnm.Print_Area" localSheetId="8">'ייחוד תרבותי'!$A$1:$F$42</definedName>
    <definedName name="_xlnm.Print_Area" localSheetId="16">ייצוב!$A$1:$I$38</definedName>
    <definedName name="_xlnm.Print_Area" localSheetId="10">'מורכבות הפקות'!$A$1:$H$39</definedName>
    <definedName name="_xlnm.Print_Area" localSheetId="6">'מיקום ההרצות'!$A$1:$AN$39</definedName>
    <definedName name="_xlnm.Print_Area" localSheetId="5">'מיקום התיאטרון'!$A$1:$I$44</definedName>
    <definedName name="_xlnm.Print_Area" localSheetId="2">סיווג!$A$1:$X$46</definedName>
    <definedName name="_xlnm.Print_Area" localSheetId="22">סיכום!$A$1:$H$38</definedName>
    <definedName name="_xlnm.Print_Area" localSheetId="11">'עידוד יוצרים'!$A$1:$H$39</definedName>
    <definedName name="_xlnm.Print_Area" localSheetId="13">פרינג!$A$1:$H$39</definedName>
    <definedName name="_xlnm.Print_Area" localSheetId="1">פרמטרים!$A$1:$F$78</definedName>
    <definedName name="_xlnm.Print_Area" localSheetId="9">רפרטואר!$A$1:$H$39</definedName>
    <definedName name="_xlnm.Print_Area" localSheetId="15">'תמיכה ציבורית אחרת'!$A$1:$J$44</definedName>
    <definedName name="_xlnm.Print_Area" localSheetId="12">'תרומה לקהילה'!$A$1:$H$39</definedName>
    <definedName name="_xlnm.Print_Titles" localSheetId="20">'הגנה (2)'!$29:$30</definedName>
    <definedName name="_xlnm.Print_Titles" localSheetId="21">'הרכב חברי הוועדה'!$10:$10</definedName>
  </definedNames>
  <calcPr calcId="145621"/>
</workbook>
</file>

<file path=xl/calcChain.xml><?xml version="1.0" encoding="utf-8"?>
<calcChain xmlns="http://schemas.openxmlformats.org/spreadsheetml/2006/main">
  <c r="D2" i="5" l="1"/>
  <c r="A12" i="40" l="1"/>
  <c r="B12" i="40"/>
  <c r="A13" i="40"/>
  <c r="B13" i="40"/>
  <c r="A14" i="40"/>
  <c r="B14" i="40"/>
  <c r="A15" i="40"/>
  <c r="B15" i="40"/>
  <c r="A16" i="40"/>
  <c r="B16" i="40"/>
  <c r="A17" i="40"/>
  <c r="B17" i="40"/>
  <c r="A18" i="40"/>
  <c r="B18" i="40"/>
  <c r="A19" i="40"/>
  <c r="B19" i="40"/>
  <c r="A20" i="40"/>
  <c r="B20" i="40"/>
  <c r="A21" i="40"/>
  <c r="B21" i="40"/>
  <c r="A22" i="40"/>
  <c r="B22" i="40"/>
  <c r="A23" i="40"/>
  <c r="B23" i="40"/>
  <c r="A24" i="40"/>
  <c r="B24" i="40"/>
  <c r="A25" i="40"/>
  <c r="B25" i="40"/>
  <c r="A26" i="40"/>
  <c r="B26" i="40"/>
  <c r="A27" i="40"/>
  <c r="B27" i="40"/>
  <c r="A28" i="40"/>
  <c r="B28" i="40"/>
  <c r="A29" i="40"/>
  <c r="B29" i="40"/>
  <c r="A30" i="40"/>
  <c r="B30" i="40"/>
  <c r="A31" i="40"/>
  <c r="B31" i="40"/>
  <c r="A32" i="40"/>
  <c r="B32" i="40"/>
  <c r="A33" i="40"/>
  <c r="B33" i="40"/>
  <c r="A34" i="40"/>
  <c r="B34" i="40"/>
  <c r="A35" i="40"/>
  <c r="B35" i="40"/>
  <c r="A36" i="40"/>
  <c r="B36" i="40"/>
  <c r="A37" i="40"/>
  <c r="B37" i="40"/>
  <c r="A38" i="40"/>
  <c r="B38" i="40"/>
  <c r="A39" i="40"/>
  <c r="B39" i="40"/>
  <c r="A40" i="40"/>
  <c r="B40" i="40"/>
  <c r="A41" i="40"/>
  <c r="B41" i="40"/>
  <c r="A42" i="40"/>
  <c r="B42" i="40"/>
  <c r="A43" i="40"/>
  <c r="B43" i="40"/>
  <c r="B11" i="40"/>
  <c r="A11" i="40"/>
  <c r="W46" i="1" l="1"/>
  <c r="W45" i="1"/>
  <c r="W29" i="1"/>
  <c r="W25" i="1"/>
  <c r="T46" i="1" l="1"/>
  <c r="T45" i="1"/>
  <c r="T29" i="1"/>
  <c r="T25" i="1"/>
  <c r="B67" i="5" l="1"/>
  <c r="AJ7" i="38" l="1"/>
  <c r="AJ8" i="38"/>
  <c r="AJ9" i="38"/>
  <c r="AJ10" i="38"/>
  <c r="AJ11" i="38"/>
  <c r="AJ12" i="38"/>
  <c r="AJ13" i="38"/>
  <c r="AJ14" i="38"/>
  <c r="AJ15" i="38"/>
  <c r="AJ16" i="38"/>
  <c r="AJ17" i="38"/>
  <c r="AJ18" i="38"/>
  <c r="AJ19" i="38"/>
  <c r="AJ20" i="38"/>
  <c r="AJ21" i="38"/>
  <c r="AJ22" i="38"/>
  <c r="AJ23" i="38"/>
  <c r="AJ24" i="38"/>
  <c r="AJ25" i="38"/>
  <c r="AJ26" i="38"/>
  <c r="AJ27" i="38"/>
  <c r="AJ28" i="38"/>
  <c r="AJ29" i="38"/>
  <c r="AJ30" i="38"/>
  <c r="AJ31" i="38"/>
  <c r="AJ32" i="38"/>
  <c r="AJ33" i="38"/>
  <c r="AJ34" i="38"/>
  <c r="AJ35" i="38"/>
  <c r="AJ36" i="38"/>
  <c r="AJ37" i="38"/>
  <c r="AJ38" i="38"/>
  <c r="AJ6" i="38"/>
  <c r="AV38" i="38"/>
  <c r="AU38" i="38"/>
  <c r="AT38" i="38"/>
  <c r="AV37" i="38"/>
  <c r="AU37" i="38"/>
  <c r="AT37" i="38"/>
  <c r="AV36" i="38"/>
  <c r="AU36" i="38"/>
  <c r="AT36" i="38"/>
  <c r="AV35" i="38"/>
  <c r="AU35" i="38"/>
  <c r="AT35" i="38"/>
  <c r="AV34" i="38"/>
  <c r="AU34" i="38"/>
  <c r="AT34" i="38"/>
  <c r="AV33" i="38"/>
  <c r="AU33" i="38"/>
  <c r="AT33" i="38"/>
  <c r="AV32" i="38"/>
  <c r="AU32" i="38"/>
  <c r="AT32" i="38"/>
  <c r="AV31" i="38"/>
  <c r="AU31" i="38"/>
  <c r="AT31" i="38"/>
  <c r="AV30" i="38"/>
  <c r="AU30" i="38"/>
  <c r="AT30" i="38"/>
  <c r="AV29" i="38"/>
  <c r="AU29" i="38"/>
  <c r="AT29" i="38"/>
  <c r="AV28" i="38"/>
  <c r="AU28" i="38"/>
  <c r="AT28" i="38"/>
  <c r="AV27" i="38"/>
  <c r="AU27" i="38"/>
  <c r="AT27" i="38"/>
  <c r="AV26" i="38"/>
  <c r="AU26" i="38"/>
  <c r="AT26" i="38"/>
  <c r="AV25" i="38"/>
  <c r="AU25" i="38"/>
  <c r="AT25" i="38"/>
  <c r="AV24" i="38"/>
  <c r="AU24" i="38"/>
  <c r="AT24" i="38"/>
  <c r="AV23" i="38"/>
  <c r="AU23" i="38"/>
  <c r="AT23" i="38"/>
  <c r="AV22" i="38"/>
  <c r="AU22" i="38"/>
  <c r="AT22" i="38"/>
  <c r="AV21" i="38"/>
  <c r="AU21" i="38"/>
  <c r="AT21" i="38"/>
  <c r="AV20" i="38"/>
  <c r="AU20" i="38"/>
  <c r="AT20" i="38"/>
  <c r="AV19" i="38"/>
  <c r="AU19" i="38"/>
  <c r="AT19" i="38"/>
  <c r="AV18" i="38"/>
  <c r="AU18" i="38"/>
  <c r="AT18" i="38"/>
  <c r="AV17" i="38"/>
  <c r="AU17" i="38"/>
  <c r="AT17" i="38"/>
  <c r="AV16" i="38"/>
  <c r="AU16" i="38"/>
  <c r="AT16" i="38"/>
  <c r="AV15" i="38"/>
  <c r="AU15" i="38"/>
  <c r="AT15" i="38"/>
  <c r="AV14" i="38"/>
  <c r="AU14" i="38"/>
  <c r="AT14" i="38"/>
  <c r="AV13" i="38"/>
  <c r="AU13" i="38"/>
  <c r="AT13" i="38"/>
  <c r="AV12" i="38"/>
  <c r="AU12" i="38"/>
  <c r="AT12" i="38"/>
  <c r="AV11" i="38"/>
  <c r="AU11" i="38"/>
  <c r="AT11" i="38"/>
  <c r="AV10" i="38"/>
  <c r="AU10" i="38"/>
  <c r="AT10" i="38"/>
  <c r="AV9" i="38"/>
  <c r="AU9" i="38"/>
  <c r="AT9" i="38"/>
  <c r="AV8" i="38"/>
  <c r="AU8" i="38"/>
  <c r="AT8" i="38"/>
  <c r="AV7" i="38"/>
  <c r="AU7" i="38"/>
  <c r="AT7" i="38"/>
  <c r="F31" i="20" l="1"/>
  <c r="F30" i="20"/>
  <c r="F23" i="20"/>
  <c r="F27" i="20"/>
  <c r="F21" i="20"/>
  <c r="F20" i="20"/>
  <c r="F17" i="20"/>
  <c r="F14" i="20"/>
  <c r="F13" i="20"/>
  <c r="E6" i="43" l="1"/>
  <c r="V32" i="43" l="1"/>
  <c r="V33" i="43"/>
  <c r="V34" i="43"/>
  <c r="V35" i="43"/>
  <c r="V36" i="43"/>
  <c r="V37" i="43"/>
  <c r="V38" i="43"/>
  <c r="V39" i="43"/>
  <c r="V40" i="43"/>
  <c r="V41" i="43"/>
  <c r="V42" i="43"/>
  <c r="V43" i="43"/>
  <c r="V44" i="43"/>
  <c r="V45" i="43"/>
  <c r="V46" i="43"/>
  <c r="V47" i="43"/>
  <c r="V48" i="43"/>
  <c r="V49" i="43"/>
  <c r="V50" i="43"/>
  <c r="V51" i="43"/>
  <c r="V52" i="43"/>
  <c r="V53" i="43"/>
  <c r="V54" i="43"/>
  <c r="V55" i="43"/>
  <c r="V56" i="43"/>
  <c r="V57" i="43"/>
  <c r="V58" i="43"/>
  <c r="V59" i="43"/>
  <c r="V60" i="43"/>
  <c r="V61" i="43"/>
  <c r="V62" i="43"/>
  <c r="V63" i="43"/>
  <c r="C2" i="43"/>
  <c r="Q1" i="43" s="1"/>
  <c r="C1" i="43"/>
  <c r="B2" i="43"/>
  <c r="B1" i="43"/>
  <c r="F64" i="43"/>
  <c r="V31" i="43"/>
  <c r="B28" i="43"/>
  <c r="V28" i="43" l="1"/>
  <c r="Q2" i="1" l="1"/>
  <c r="Q1" i="1"/>
  <c r="R2" i="1"/>
  <c r="R1" i="1"/>
  <c r="S3" i="1"/>
  <c r="R3" i="1"/>
  <c r="J13" i="1" l="1"/>
  <c r="H13" i="1"/>
  <c r="K13" i="1" s="1"/>
  <c r="C4" i="42"/>
  <c r="C5" i="42"/>
  <c r="C3" i="42"/>
  <c r="B4" i="42"/>
  <c r="B5" i="42"/>
  <c r="B3" i="42"/>
  <c r="C5" i="32" l="1"/>
  <c r="M13" i="1"/>
  <c r="C5" i="31"/>
  <c r="C5" i="14"/>
  <c r="C5" i="30"/>
  <c r="C5" i="29"/>
  <c r="E44" i="42"/>
  <c r="C2" i="40" l="1"/>
  <c r="C1" i="40"/>
  <c r="B2" i="40"/>
  <c r="B1" i="40"/>
  <c r="H3" i="1" l="1"/>
  <c r="J3" i="1"/>
  <c r="R17" i="1" l="1"/>
  <c r="AC17" i="1" s="1"/>
  <c r="R24" i="1"/>
  <c r="AE24" i="1" s="1"/>
  <c r="R15" i="1"/>
  <c r="AC15" i="1" s="1"/>
  <c r="R16" i="1"/>
  <c r="AE16" i="1" s="1"/>
  <c r="R18" i="1"/>
  <c r="AE18" i="1" s="1"/>
  <c r="R19" i="1"/>
  <c r="AC19" i="1" s="1"/>
  <c r="R20" i="1"/>
  <c r="AE20" i="1" s="1"/>
  <c r="R21" i="1"/>
  <c r="AC21" i="1" s="1"/>
  <c r="R22" i="1"/>
  <c r="AE22" i="1" s="1"/>
  <c r="R23" i="1"/>
  <c r="AC23" i="1" s="1"/>
  <c r="R25" i="1"/>
  <c r="AC25" i="1" s="1"/>
  <c r="R26" i="1"/>
  <c r="AE26" i="1" s="1"/>
  <c r="R27" i="1"/>
  <c r="AC27" i="1" s="1"/>
  <c r="R28" i="1"/>
  <c r="R29" i="1"/>
  <c r="AC29" i="1" s="1"/>
  <c r="R30" i="1"/>
  <c r="AE30" i="1" s="1"/>
  <c r="R31" i="1"/>
  <c r="AC31" i="1" s="1"/>
  <c r="R32" i="1"/>
  <c r="AE32" i="1" s="1"/>
  <c r="R33" i="1"/>
  <c r="AC33" i="1" s="1"/>
  <c r="R34" i="1"/>
  <c r="AE34" i="1" s="1"/>
  <c r="R35" i="1"/>
  <c r="AC35" i="1" s="1"/>
  <c r="R36" i="1"/>
  <c r="AE36" i="1" s="1"/>
  <c r="R37" i="1"/>
  <c r="AC37" i="1" s="1"/>
  <c r="R38" i="1"/>
  <c r="AE38" i="1" s="1"/>
  <c r="R39" i="1"/>
  <c r="AC39" i="1" s="1"/>
  <c r="R40" i="1"/>
  <c r="AE40" i="1" s="1"/>
  <c r="R41" i="1"/>
  <c r="AC41" i="1" s="1"/>
  <c r="R42" i="1"/>
  <c r="AE42" i="1" s="1"/>
  <c r="R43" i="1"/>
  <c r="AE43" i="1" s="1"/>
  <c r="R44" i="1"/>
  <c r="AC44" i="1" s="1"/>
  <c r="R45" i="1"/>
  <c r="AE45" i="1" s="1"/>
  <c r="R46" i="1"/>
  <c r="AC46" i="1" s="1"/>
  <c r="AL25" i="1"/>
  <c r="AM25" i="1"/>
  <c r="AN25" i="1"/>
  <c r="AO25" i="1"/>
  <c r="AP25" i="1"/>
  <c r="AQ25" i="1"/>
  <c r="AR25" i="1"/>
  <c r="AL29" i="1"/>
  <c r="AM29" i="1"/>
  <c r="AN29" i="1"/>
  <c r="AO29" i="1"/>
  <c r="AP29" i="1"/>
  <c r="AQ29" i="1"/>
  <c r="AR29" i="1"/>
  <c r="AL45" i="1"/>
  <c r="AM45" i="1"/>
  <c r="AN45" i="1"/>
  <c r="AO45" i="1"/>
  <c r="AP45" i="1"/>
  <c r="AQ45" i="1"/>
  <c r="AR45" i="1"/>
  <c r="AL46" i="1"/>
  <c r="AM46" i="1"/>
  <c r="AN46" i="1"/>
  <c r="AO46" i="1"/>
  <c r="AP46" i="1"/>
  <c r="AQ46" i="1"/>
  <c r="AR46" i="1"/>
  <c r="AE28" i="1" l="1"/>
  <c r="AC28" i="1"/>
  <c r="AF46" i="1"/>
  <c r="AH45" i="1"/>
  <c r="AF44" i="1"/>
  <c r="AH43" i="1"/>
  <c r="AE46" i="1"/>
  <c r="AG45" i="1"/>
  <c r="AC45" i="1"/>
  <c r="AE44" i="1"/>
  <c r="AG43" i="1"/>
  <c r="AC43" i="1"/>
  <c r="AH46" i="1"/>
  <c r="AF45" i="1"/>
  <c r="AH44" i="1"/>
  <c r="AF43" i="1"/>
  <c r="AF29" i="1"/>
  <c r="AG46" i="1"/>
  <c r="AG44" i="1"/>
  <c r="AF25" i="1"/>
  <c r="AF41" i="1"/>
  <c r="AF39" i="1"/>
  <c r="AH38" i="1"/>
  <c r="AF37" i="1"/>
  <c r="AF35" i="1"/>
  <c r="AH34" i="1"/>
  <c r="AF33" i="1"/>
  <c r="AF31" i="1"/>
  <c r="AH30" i="1"/>
  <c r="AF27" i="1"/>
  <c r="AH26" i="1"/>
  <c r="AH22" i="1"/>
  <c r="AF21" i="1"/>
  <c r="AH20" i="1"/>
  <c r="AH18" i="1"/>
  <c r="AF17" i="1"/>
  <c r="AH16" i="1"/>
  <c r="AF15" i="1"/>
  <c r="AH36" i="1"/>
  <c r="AH28" i="1"/>
  <c r="AH24" i="1"/>
  <c r="AF23" i="1"/>
  <c r="AF19" i="1"/>
  <c r="AE41" i="1"/>
  <c r="AG40" i="1"/>
  <c r="AC40" i="1"/>
  <c r="AE39" i="1"/>
  <c r="AG38" i="1"/>
  <c r="AC38" i="1"/>
  <c r="AE37" i="1"/>
  <c r="AG36" i="1"/>
  <c r="AC36" i="1"/>
  <c r="AE35" i="1"/>
  <c r="AG34" i="1"/>
  <c r="AC34" i="1"/>
  <c r="AE33" i="1"/>
  <c r="AG32" i="1"/>
  <c r="AC32" i="1"/>
  <c r="AE31" i="1"/>
  <c r="AG30" i="1"/>
  <c r="AC30" i="1"/>
  <c r="AE29" i="1"/>
  <c r="AG28" i="1"/>
  <c r="AE27" i="1"/>
  <c r="AG26" i="1"/>
  <c r="AC26" i="1"/>
  <c r="AE25" i="1"/>
  <c r="AG24" i="1"/>
  <c r="AC24" i="1"/>
  <c r="AE23" i="1"/>
  <c r="AG22" i="1"/>
  <c r="AC22" i="1"/>
  <c r="AE21" i="1"/>
  <c r="AG20" i="1"/>
  <c r="AC20" i="1"/>
  <c r="AE19" i="1"/>
  <c r="AG18" i="1"/>
  <c r="AC18" i="1"/>
  <c r="AE17" i="1"/>
  <c r="AG16" i="1"/>
  <c r="AC16" i="1"/>
  <c r="AE15" i="1"/>
  <c r="AH41" i="1"/>
  <c r="AF40" i="1"/>
  <c r="AH39" i="1"/>
  <c r="AF38" i="1"/>
  <c r="AH37" i="1"/>
  <c r="AF36" i="1"/>
  <c r="AH35" i="1"/>
  <c r="AF34" i="1"/>
  <c r="AH33" i="1"/>
  <c r="AF32" i="1"/>
  <c r="AH31" i="1"/>
  <c r="AF30" i="1"/>
  <c r="AH29" i="1"/>
  <c r="AF28" i="1"/>
  <c r="AH27" i="1"/>
  <c r="AF26" i="1"/>
  <c r="AH25" i="1"/>
  <c r="AF24" i="1"/>
  <c r="AH23" i="1"/>
  <c r="AF22" i="1"/>
  <c r="AH21" i="1"/>
  <c r="AF20" i="1"/>
  <c r="AH19" i="1"/>
  <c r="AF18" i="1"/>
  <c r="AH17" i="1"/>
  <c r="AF16" i="1"/>
  <c r="AH15" i="1"/>
  <c r="AH40" i="1"/>
  <c r="AH32" i="1"/>
  <c r="AG41" i="1"/>
  <c r="AG39" i="1"/>
  <c r="AG37" i="1"/>
  <c r="AG35" i="1"/>
  <c r="AG33" i="1"/>
  <c r="AG31" i="1"/>
  <c r="AG29" i="1"/>
  <c r="AG27" i="1"/>
  <c r="AG25" i="1"/>
  <c r="AG23" i="1"/>
  <c r="AG21" i="1"/>
  <c r="AG19" i="1"/>
  <c r="AG17" i="1"/>
  <c r="AG15" i="1"/>
  <c r="AG42" i="1"/>
  <c r="AC42" i="1"/>
  <c r="AF42" i="1"/>
  <c r="AH42" i="1"/>
  <c r="X46" i="1"/>
  <c r="X45" i="1"/>
  <c r="X29" i="1"/>
  <c r="R14" i="1"/>
  <c r="S5" i="1"/>
  <c r="AD45" i="1" s="1"/>
  <c r="AI45" i="1" l="1"/>
  <c r="AD31" i="1"/>
  <c r="AI31" i="1" s="1"/>
  <c r="AD32" i="1"/>
  <c r="AI32" i="1" s="1"/>
  <c r="AD38" i="1"/>
  <c r="AI38" i="1" s="1"/>
  <c r="AD46" i="1"/>
  <c r="AD28" i="1"/>
  <c r="AI28" i="1" s="1"/>
  <c r="AD21" i="1"/>
  <c r="AI21" i="1" s="1"/>
  <c r="AD29" i="1"/>
  <c r="AI29" i="1" s="1"/>
  <c r="AD37" i="1"/>
  <c r="AI37" i="1" s="1"/>
  <c r="AD36" i="1"/>
  <c r="AI36" i="1" s="1"/>
  <c r="AD24" i="1"/>
  <c r="AI24" i="1" s="1"/>
  <c r="AD26" i="1"/>
  <c r="AI26" i="1" s="1"/>
  <c r="AD30" i="1"/>
  <c r="AI30" i="1" s="1"/>
  <c r="AD34" i="1"/>
  <c r="AI34" i="1" s="1"/>
  <c r="AD44" i="1"/>
  <c r="AD23" i="1"/>
  <c r="AI23" i="1" s="1"/>
  <c r="AD39" i="1"/>
  <c r="AI39" i="1" s="1"/>
  <c r="AD20" i="1"/>
  <c r="AI20" i="1" s="1"/>
  <c r="AD42" i="1"/>
  <c r="AI42" i="1" s="1"/>
  <c r="AD19" i="1"/>
  <c r="AI19" i="1" s="1"/>
  <c r="AD27" i="1"/>
  <c r="AI27" i="1" s="1"/>
  <c r="AD35" i="1"/>
  <c r="AI35" i="1" s="1"/>
  <c r="AD40" i="1"/>
  <c r="AI40" i="1" s="1"/>
  <c r="AD18" i="1"/>
  <c r="AI18" i="1" s="1"/>
  <c r="AD15" i="1"/>
  <c r="AI15" i="1" s="1"/>
  <c r="AD43" i="1"/>
  <c r="AD17" i="1"/>
  <c r="AI17" i="1" s="1"/>
  <c r="AD25" i="1"/>
  <c r="AD33" i="1"/>
  <c r="AD41" i="1"/>
  <c r="AI41" i="1" s="1"/>
  <c r="AD16" i="1"/>
  <c r="AI16" i="1" s="1"/>
  <c r="AD22" i="1"/>
  <c r="AI22" i="1" s="1"/>
  <c r="AE14" i="1"/>
  <c r="AH14" i="1"/>
  <c r="AD14" i="1"/>
  <c r="AG14" i="1"/>
  <c r="AC14" i="1"/>
  <c r="AF14" i="1"/>
  <c r="B6" i="40"/>
  <c r="C6" i="40"/>
  <c r="C5" i="40"/>
  <c r="B7" i="40"/>
  <c r="B5" i="40"/>
  <c r="A9" i="40"/>
  <c r="AM5" i="38"/>
  <c r="AM19" i="38" s="1"/>
  <c r="AN5" i="38"/>
  <c r="AN19" i="38" s="1"/>
  <c r="AL5" i="38"/>
  <c r="AL19" i="38" s="1"/>
  <c r="AL15" i="38"/>
  <c r="AM14" i="38"/>
  <c r="AL14" i="38"/>
  <c r="B46" i="5"/>
  <c r="AM15" i="38" s="1"/>
  <c r="AM20" i="38"/>
  <c r="AN20" i="38"/>
  <c r="AM21" i="38"/>
  <c r="AN21" i="38"/>
  <c r="AM22" i="38"/>
  <c r="AN22" i="38"/>
  <c r="AM23" i="38"/>
  <c r="AN23" i="38"/>
  <c r="AM24" i="38"/>
  <c r="AN24" i="38"/>
  <c r="AM25" i="38"/>
  <c r="AN25" i="38"/>
  <c r="AM26" i="38"/>
  <c r="AN26" i="38"/>
  <c r="AM27" i="38"/>
  <c r="AN27" i="38"/>
  <c r="AL21" i="38"/>
  <c r="AL22" i="38"/>
  <c r="AL23" i="38"/>
  <c r="AL24" i="38"/>
  <c r="AL25" i="38"/>
  <c r="AL26" i="38"/>
  <c r="AL27" i="38"/>
  <c r="AL20" i="38"/>
  <c r="AM6" i="38"/>
  <c r="AN6" i="38"/>
  <c r="AM7" i="38"/>
  <c r="AN7" i="38"/>
  <c r="AM8" i="38"/>
  <c r="AN8" i="38"/>
  <c r="AM9" i="38"/>
  <c r="AN9" i="38"/>
  <c r="AM10" i="38"/>
  <c r="AN10" i="38"/>
  <c r="AM11" i="38"/>
  <c r="AN11" i="38"/>
  <c r="AM12" i="38"/>
  <c r="AN12" i="38"/>
  <c r="AM13" i="38"/>
  <c r="AN13" i="38"/>
  <c r="AL7" i="38"/>
  <c r="AL8" i="38"/>
  <c r="AL9" i="38"/>
  <c r="AL10" i="38"/>
  <c r="AL11" i="38"/>
  <c r="AL12" i="38"/>
  <c r="AL13" i="38"/>
  <c r="AL6" i="38"/>
  <c r="G2" i="38"/>
  <c r="G1" i="38"/>
  <c r="E2" i="38"/>
  <c r="E1" i="38"/>
  <c r="AV6" i="38"/>
  <c r="AU6" i="38"/>
  <c r="AT6" i="38"/>
  <c r="AV5" i="38"/>
  <c r="AU5" i="38"/>
  <c r="AT5" i="38"/>
  <c r="Y5" i="38"/>
  <c r="A3" i="38"/>
  <c r="AI25" i="1" l="1"/>
  <c r="AI43" i="1"/>
  <c r="AI44" i="1"/>
  <c r="AI46" i="1"/>
  <c r="AI33" i="1"/>
  <c r="AI14" i="1"/>
  <c r="B7" i="8"/>
  <c r="D7" i="8"/>
  <c r="B9" i="12" l="1"/>
  <c r="A4" i="1"/>
  <c r="B4" i="1"/>
  <c r="D10" i="12"/>
  <c r="A3" i="12"/>
  <c r="B3" i="12"/>
  <c r="B4" i="12"/>
  <c r="B5" i="12"/>
  <c r="B10" i="12"/>
  <c r="B11" i="12"/>
  <c r="B12" i="12"/>
  <c r="A5" i="1"/>
  <c r="B5" i="1"/>
  <c r="D12" i="12"/>
  <c r="B13" i="12"/>
  <c r="B14" i="12"/>
  <c r="B15" i="12"/>
  <c r="B16" i="12"/>
  <c r="D16" i="12"/>
  <c r="B17" i="12"/>
  <c r="A6" i="1"/>
  <c r="B6" i="1"/>
  <c r="B23" i="12"/>
  <c r="B18" i="12"/>
  <c r="D18" i="12"/>
  <c r="B19" i="12"/>
  <c r="B20" i="12"/>
  <c r="B21" i="12"/>
  <c r="B22" i="12"/>
  <c r="B24" i="12"/>
  <c r="B25" i="12"/>
  <c r="B26" i="12"/>
  <c r="A7" i="1"/>
  <c r="B7" i="1"/>
  <c r="B27" i="12"/>
  <c r="A8" i="1"/>
  <c r="B8" i="1"/>
  <c r="B28" i="12"/>
  <c r="A9" i="1"/>
  <c r="B9" i="1"/>
  <c r="B29" i="12"/>
  <c r="B30" i="12"/>
  <c r="B31" i="12"/>
  <c r="B32" i="12"/>
  <c r="B33" i="12"/>
  <c r="B34" i="12"/>
  <c r="B35" i="12"/>
  <c r="B36" i="12"/>
  <c r="B37" i="12"/>
  <c r="B38" i="12"/>
  <c r="B39" i="12"/>
  <c r="B40" i="12"/>
  <c r="C40" i="12" s="1"/>
  <c r="D40" i="12"/>
  <c r="B41" i="12"/>
  <c r="C41" i="12" s="1"/>
  <c r="D41" i="12"/>
  <c r="F12" i="25"/>
  <c r="F5" i="25"/>
  <c r="F6" i="25"/>
  <c r="F7" i="25"/>
  <c r="F8" i="25"/>
  <c r="F9" i="25"/>
  <c r="F10" i="25"/>
  <c r="F11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D2" i="25"/>
  <c r="E5" i="32"/>
  <c r="E5" i="31"/>
  <c r="E5" i="30"/>
  <c r="E5" i="29"/>
  <c r="E5" i="14"/>
  <c r="E5" i="3"/>
  <c r="E5" i="28" s="1"/>
  <c r="J6" i="19"/>
  <c r="K6" i="19"/>
  <c r="L6" i="19"/>
  <c r="M6" i="19"/>
  <c r="N6" i="19"/>
  <c r="G6" i="19"/>
  <c r="D6" i="19"/>
  <c r="E6" i="19"/>
  <c r="B4" i="31"/>
  <c r="A4" i="31"/>
  <c r="B4" i="30"/>
  <c r="A4" i="30"/>
  <c r="B4" i="29"/>
  <c r="A4" i="29"/>
  <c r="P6" i="19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A10" i="1"/>
  <c r="B10" i="1"/>
  <c r="B22" i="19"/>
  <c r="B23" i="19"/>
  <c r="B24" i="19"/>
  <c r="B25" i="19"/>
  <c r="B26" i="19"/>
  <c r="B27" i="19"/>
  <c r="B28" i="19"/>
  <c r="B29" i="19"/>
  <c r="B30" i="19"/>
  <c r="B31" i="19"/>
  <c r="B32" i="19"/>
  <c r="B36" i="20"/>
  <c r="E3" i="20"/>
  <c r="G29" i="20" s="1"/>
  <c r="F3" i="20"/>
  <c r="B33" i="19"/>
  <c r="B37" i="20"/>
  <c r="M37" i="20" s="1"/>
  <c r="L37" i="20" s="1"/>
  <c r="N37" i="20" s="1"/>
  <c r="B34" i="19"/>
  <c r="B38" i="20"/>
  <c r="M38" i="20" s="1"/>
  <c r="L38" i="20" s="1"/>
  <c r="N38" i="20" s="1"/>
  <c r="B35" i="19"/>
  <c r="B39" i="20"/>
  <c r="B36" i="19"/>
  <c r="B40" i="20"/>
  <c r="M40" i="20" s="1"/>
  <c r="L40" i="20" s="1"/>
  <c r="N40" i="20" s="1"/>
  <c r="B37" i="19"/>
  <c r="B41" i="20"/>
  <c r="M41" i="20" s="1"/>
  <c r="L41" i="20" s="1"/>
  <c r="N41" i="20" s="1"/>
  <c r="B38" i="19"/>
  <c r="C38" i="19" s="1"/>
  <c r="O38" i="19" s="1"/>
  <c r="P38" i="19" s="1"/>
  <c r="C42" i="20" s="1"/>
  <c r="E42" i="20" s="1"/>
  <c r="B42" i="20"/>
  <c r="M42" i="20" s="1"/>
  <c r="L42" i="20" s="1"/>
  <c r="N42" i="20" s="1"/>
  <c r="B39" i="19"/>
  <c r="B43" i="20"/>
  <c r="I6" i="37"/>
  <c r="I1" i="19"/>
  <c r="I2" i="19"/>
  <c r="G1" i="19"/>
  <c r="G2" i="19"/>
  <c r="B5" i="33"/>
  <c r="B9" i="37" s="1"/>
  <c r="HG9" i="37" s="1"/>
  <c r="B6" i="33"/>
  <c r="B10" i="37" s="1"/>
  <c r="B7" i="33"/>
  <c r="B11" i="37" s="1"/>
  <c r="HG11" i="37" s="1"/>
  <c r="B8" i="33"/>
  <c r="B12" i="37" s="1"/>
  <c r="B9" i="33"/>
  <c r="B13" i="37" s="1"/>
  <c r="HG13" i="37" s="1"/>
  <c r="B10" i="33"/>
  <c r="B14" i="37" s="1"/>
  <c r="B11" i="33"/>
  <c r="B15" i="37" s="1"/>
  <c r="HG15" i="37" s="1"/>
  <c r="B12" i="33"/>
  <c r="B16" i="37" s="1"/>
  <c r="HF16" i="37" s="1"/>
  <c r="B13" i="33"/>
  <c r="B17" i="37" s="1"/>
  <c r="B14" i="33"/>
  <c r="B18" i="37" s="1"/>
  <c r="B15" i="33"/>
  <c r="B19" i="37" s="1"/>
  <c r="B16" i="33"/>
  <c r="B20" i="37" s="1"/>
  <c r="B17" i="33"/>
  <c r="B21" i="37" s="1"/>
  <c r="HE21" i="37" s="1"/>
  <c r="B18" i="33"/>
  <c r="B22" i="37" s="1"/>
  <c r="B19" i="33"/>
  <c r="B23" i="37" s="1"/>
  <c r="HG23" i="37" s="1"/>
  <c r="B20" i="33"/>
  <c r="B24" i="37" s="1"/>
  <c r="B21" i="33"/>
  <c r="B25" i="37" s="1"/>
  <c r="HF25" i="37" s="1"/>
  <c r="B22" i="33"/>
  <c r="B26" i="37" s="1"/>
  <c r="B23" i="33"/>
  <c r="B27" i="37" s="1"/>
  <c r="HF27" i="37" s="1"/>
  <c r="B24" i="33"/>
  <c r="B28" i="37" s="1"/>
  <c r="HG28" i="37" s="1"/>
  <c r="B25" i="33"/>
  <c r="B29" i="37" s="1"/>
  <c r="B26" i="33"/>
  <c r="B30" i="37" s="1"/>
  <c r="B27" i="33"/>
  <c r="B31" i="37" s="1"/>
  <c r="B28" i="33"/>
  <c r="B32" i="37" s="1"/>
  <c r="HG32" i="37" s="1"/>
  <c r="B29" i="33"/>
  <c r="B33" i="37" s="1"/>
  <c r="B30" i="33"/>
  <c r="B34" i="37" s="1"/>
  <c r="B31" i="33"/>
  <c r="B35" i="37" s="1"/>
  <c r="B32" i="33"/>
  <c r="B36" i="37" s="1"/>
  <c r="HF36" i="37" s="1"/>
  <c r="B33" i="33"/>
  <c r="B37" i="37" s="1"/>
  <c r="HG37" i="37" s="1"/>
  <c r="B34" i="33"/>
  <c r="B38" i="37" s="1"/>
  <c r="B35" i="33"/>
  <c r="B39" i="37" s="1"/>
  <c r="B36" i="33"/>
  <c r="B40" i="37" s="1"/>
  <c r="B37" i="33"/>
  <c r="B41" i="37" s="1"/>
  <c r="HF41" i="37" s="1"/>
  <c r="C4" i="33"/>
  <c r="F2" i="33"/>
  <c r="B9" i="13"/>
  <c r="H9" i="13" s="1"/>
  <c r="B10" i="13"/>
  <c r="H10" i="13" s="1"/>
  <c r="B11" i="13"/>
  <c r="H11" i="13" s="1"/>
  <c r="B12" i="13"/>
  <c r="H12" i="13" s="1"/>
  <c r="B13" i="13"/>
  <c r="H13" i="13" s="1"/>
  <c r="B14" i="13"/>
  <c r="H14" i="13" s="1"/>
  <c r="B15" i="13"/>
  <c r="H15" i="13" s="1"/>
  <c r="B16" i="13"/>
  <c r="H16" i="13" s="1"/>
  <c r="B17" i="13"/>
  <c r="H17" i="13" s="1"/>
  <c r="B18" i="13"/>
  <c r="H18" i="13" s="1"/>
  <c r="B19" i="13"/>
  <c r="H19" i="13" s="1"/>
  <c r="B20" i="13"/>
  <c r="H20" i="13" s="1"/>
  <c r="B21" i="13"/>
  <c r="H21" i="13" s="1"/>
  <c r="B22" i="13"/>
  <c r="H22" i="13" s="1"/>
  <c r="B23" i="13"/>
  <c r="H23" i="13" s="1"/>
  <c r="B24" i="13"/>
  <c r="H24" i="13" s="1"/>
  <c r="B25" i="13"/>
  <c r="H25" i="13" s="1"/>
  <c r="B26" i="13"/>
  <c r="H26" i="13" s="1"/>
  <c r="B27" i="13"/>
  <c r="H27" i="13" s="1"/>
  <c r="B28" i="13"/>
  <c r="H28" i="13" s="1"/>
  <c r="B29" i="13"/>
  <c r="H29" i="13" s="1"/>
  <c r="B30" i="13"/>
  <c r="H30" i="13" s="1"/>
  <c r="B31" i="13"/>
  <c r="H31" i="13" s="1"/>
  <c r="B32" i="13"/>
  <c r="H32" i="13" s="1"/>
  <c r="B33" i="13"/>
  <c r="H33" i="13" s="1"/>
  <c r="B34" i="13"/>
  <c r="H34" i="13" s="1"/>
  <c r="B35" i="13"/>
  <c r="H35" i="13" s="1"/>
  <c r="B36" i="13"/>
  <c r="H36" i="13" s="1"/>
  <c r="B37" i="13"/>
  <c r="H37" i="13" s="1"/>
  <c r="B38" i="13"/>
  <c r="H38" i="13" s="1"/>
  <c r="B39" i="13"/>
  <c r="H39" i="13" s="1"/>
  <c r="B40" i="13"/>
  <c r="H40" i="13" s="1"/>
  <c r="B41" i="13"/>
  <c r="H41" i="13" s="1"/>
  <c r="I5" i="37"/>
  <c r="H5" i="37"/>
  <c r="H6" i="37"/>
  <c r="B2" i="37"/>
  <c r="C2" i="37"/>
  <c r="B3" i="37"/>
  <c r="C3" i="37"/>
  <c r="B4" i="37"/>
  <c r="C4" i="37"/>
  <c r="HD8" i="37" s="1"/>
  <c r="B1" i="37"/>
  <c r="A4" i="33"/>
  <c r="A8" i="37" s="1"/>
  <c r="B4" i="33"/>
  <c r="B8" i="37" s="1"/>
  <c r="A5" i="33"/>
  <c r="A9" i="37" s="1"/>
  <c r="P43" i="37"/>
  <c r="P8" i="37" s="1"/>
  <c r="B7" i="14"/>
  <c r="E7" i="14" s="1"/>
  <c r="B8" i="14"/>
  <c r="E8" i="14" s="1"/>
  <c r="B9" i="14"/>
  <c r="E9" i="14" s="1"/>
  <c r="B10" i="14"/>
  <c r="B11" i="14"/>
  <c r="B12" i="14"/>
  <c r="E12" i="14" s="1"/>
  <c r="B13" i="14"/>
  <c r="E13" i="14" s="1"/>
  <c r="B14" i="14"/>
  <c r="B15" i="14"/>
  <c r="E15" i="14" s="1"/>
  <c r="B16" i="14"/>
  <c r="E16" i="14" s="1"/>
  <c r="B17" i="14"/>
  <c r="B18" i="14"/>
  <c r="K18" i="14" s="1"/>
  <c r="J18" i="14" s="1"/>
  <c r="B19" i="14"/>
  <c r="B20" i="14"/>
  <c r="E20" i="14" s="1"/>
  <c r="B21" i="14"/>
  <c r="E21" i="14" s="1"/>
  <c r="B22" i="14"/>
  <c r="E22" i="14" s="1"/>
  <c r="B23" i="14"/>
  <c r="E23" i="14" s="1"/>
  <c r="B24" i="14"/>
  <c r="E24" i="14" s="1"/>
  <c r="B25" i="14"/>
  <c r="K25" i="14" s="1"/>
  <c r="J25" i="14" s="1"/>
  <c r="B26" i="14"/>
  <c r="E26" i="14" s="1"/>
  <c r="B27" i="14"/>
  <c r="E27" i="14" s="1"/>
  <c r="B28" i="14"/>
  <c r="K28" i="14" s="1"/>
  <c r="J28" i="14" s="1"/>
  <c r="B29" i="14"/>
  <c r="K29" i="14" s="1"/>
  <c r="J29" i="14" s="1"/>
  <c r="B30" i="14"/>
  <c r="E30" i="14" s="1"/>
  <c r="B31" i="14"/>
  <c r="E31" i="14" s="1"/>
  <c r="B32" i="14"/>
  <c r="E32" i="14" s="1"/>
  <c r="B33" i="14"/>
  <c r="B34" i="14"/>
  <c r="K34" i="14" s="1"/>
  <c r="J34" i="14" s="1"/>
  <c r="B35" i="14"/>
  <c r="E35" i="14" s="1"/>
  <c r="B36" i="14"/>
  <c r="E36" i="14" s="1"/>
  <c r="B37" i="14"/>
  <c r="F37" i="14" s="1"/>
  <c r="G37" i="14" s="1"/>
  <c r="B38" i="14"/>
  <c r="B6" i="14"/>
  <c r="E6" i="14" s="1"/>
  <c r="B7" i="32"/>
  <c r="L7" i="32" s="1"/>
  <c r="K7" i="32" s="1"/>
  <c r="B8" i="32"/>
  <c r="L8" i="32" s="1"/>
  <c r="K8" i="32" s="1"/>
  <c r="B9" i="32"/>
  <c r="L9" i="32" s="1"/>
  <c r="B10" i="32"/>
  <c r="E10" i="32" s="1"/>
  <c r="B11" i="32"/>
  <c r="E11" i="32" s="1"/>
  <c r="B12" i="32"/>
  <c r="B13" i="32"/>
  <c r="E13" i="32" s="1"/>
  <c r="B14" i="32"/>
  <c r="B15" i="32"/>
  <c r="E15" i="32" s="1"/>
  <c r="B16" i="32"/>
  <c r="B17" i="32"/>
  <c r="B18" i="32"/>
  <c r="E18" i="32" s="1"/>
  <c r="B19" i="32"/>
  <c r="L19" i="32" s="1"/>
  <c r="K19" i="32" s="1"/>
  <c r="B20" i="32"/>
  <c r="E20" i="32" s="1"/>
  <c r="B21" i="32"/>
  <c r="B22" i="32"/>
  <c r="E22" i="32" s="1"/>
  <c r="B23" i="32"/>
  <c r="E23" i="32" s="1"/>
  <c r="B24" i="32"/>
  <c r="B25" i="32"/>
  <c r="B26" i="32"/>
  <c r="E26" i="32" s="1"/>
  <c r="B27" i="32"/>
  <c r="L27" i="32" s="1"/>
  <c r="K27" i="32" s="1"/>
  <c r="B28" i="32"/>
  <c r="B29" i="32"/>
  <c r="B30" i="32"/>
  <c r="E30" i="32" s="1"/>
  <c r="B31" i="32"/>
  <c r="E31" i="32" s="1"/>
  <c r="B32" i="32"/>
  <c r="B33" i="32"/>
  <c r="B34" i="32"/>
  <c r="L34" i="32" s="1"/>
  <c r="K34" i="32" s="1"/>
  <c r="B35" i="32"/>
  <c r="E35" i="32" s="1"/>
  <c r="B36" i="32"/>
  <c r="B37" i="32"/>
  <c r="E37" i="32" s="1"/>
  <c r="B38" i="32"/>
  <c r="E38" i="32" s="1"/>
  <c r="B6" i="32"/>
  <c r="E6" i="32" s="1"/>
  <c r="B7" i="31"/>
  <c r="K7" i="31" s="1"/>
  <c r="J7" i="31" s="1"/>
  <c r="B8" i="31"/>
  <c r="E8" i="31" s="1"/>
  <c r="B9" i="31"/>
  <c r="B10" i="31"/>
  <c r="E10" i="31" s="1"/>
  <c r="B11" i="31"/>
  <c r="K11" i="31" s="1"/>
  <c r="J11" i="31" s="1"/>
  <c r="B12" i="31"/>
  <c r="E12" i="31" s="1"/>
  <c r="B13" i="31"/>
  <c r="E13" i="31" s="1"/>
  <c r="B14" i="31"/>
  <c r="E14" i="31" s="1"/>
  <c r="B15" i="31"/>
  <c r="B16" i="31"/>
  <c r="E16" i="31" s="1"/>
  <c r="B17" i="31"/>
  <c r="K17" i="31" s="1"/>
  <c r="J17" i="31" s="1"/>
  <c r="B18" i="31"/>
  <c r="E18" i="31" s="1"/>
  <c r="B19" i="31"/>
  <c r="B20" i="31"/>
  <c r="B21" i="31"/>
  <c r="B22" i="31"/>
  <c r="K22" i="31" s="1"/>
  <c r="B23" i="31"/>
  <c r="K23" i="31" s="1"/>
  <c r="J23" i="31" s="1"/>
  <c r="B24" i="31"/>
  <c r="K24" i="31" s="1"/>
  <c r="J24" i="31" s="1"/>
  <c r="B25" i="31"/>
  <c r="E25" i="31" s="1"/>
  <c r="B26" i="31"/>
  <c r="E26" i="31" s="1"/>
  <c r="B27" i="31"/>
  <c r="B28" i="31"/>
  <c r="B29" i="31"/>
  <c r="B30" i="31"/>
  <c r="E30" i="31" s="1"/>
  <c r="B31" i="31"/>
  <c r="K31" i="31" s="1"/>
  <c r="J31" i="31" s="1"/>
  <c r="B32" i="31"/>
  <c r="B33" i="31"/>
  <c r="B34" i="31"/>
  <c r="E34" i="31" s="1"/>
  <c r="B35" i="31"/>
  <c r="B36" i="31"/>
  <c r="E36" i="31" s="1"/>
  <c r="B37" i="31"/>
  <c r="E37" i="31" s="1"/>
  <c r="B38" i="31"/>
  <c r="E38" i="31" s="1"/>
  <c r="B7" i="30"/>
  <c r="E7" i="30" s="1"/>
  <c r="B8" i="30"/>
  <c r="E8" i="30" s="1"/>
  <c r="B9" i="30"/>
  <c r="E9" i="30" s="1"/>
  <c r="B10" i="30"/>
  <c r="E10" i="30" s="1"/>
  <c r="B11" i="30"/>
  <c r="B12" i="30"/>
  <c r="B13" i="30"/>
  <c r="E13" i="30" s="1"/>
  <c r="B14" i="30"/>
  <c r="K14" i="30" s="1"/>
  <c r="J14" i="30" s="1"/>
  <c r="B15" i="30"/>
  <c r="K15" i="30" s="1"/>
  <c r="J15" i="30" s="1"/>
  <c r="B16" i="30"/>
  <c r="B17" i="30"/>
  <c r="E17" i="30" s="1"/>
  <c r="B18" i="30"/>
  <c r="E18" i="30" s="1"/>
  <c r="B19" i="30"/>
  <c r="E19" i="30" s="1"/>
  <c r="B20" i="30"/>
  <c r="E20" i="30" s="1"/>
  <c r="B21" i="30"/>
  <c r="E21" i="30" s="1"/>
  <c r="B22" i="30"/>
  <c r="E22" i="30" s="1"/>
  <c r="B23" i="30"/>
  <c r="B24" i="30"/>
  <c r="B25" i="30"/>
  <c r="E25" i="30" s="1"/>
  <c r="B26" i="30"/>
  <c r="E26" i="30" s="1"/>
  <c r="B27" i="30"/>
  <c r="B28" i="30"/>
  <c r="K28" i="30" s="1"/>
  <c r="J28" i="30" s="1"/>
  <c r="B29" i="30"/>
  <c r="B30" i="30"/>
  <c r="E30" i="30" s="1"/>
  <c r="B31" i="30"/>
  <c r="B32" i="30"/>
  <c r="K32" i="30" s="1"/>
  <c r="J32" i="30" s="1"/>
  <c r="B33" i="30"/>
  <c r="E33" i="30" s="1"/>
  <c r="B34" i="30"/>
  <c r="E34" i="30" s="1"/>
  <c r="B35" i="30"/>
  <c r="E35" i="30" s="1"/>
  <c r="B36" i="30"/>
  <c r="B37" i="30"/>
  <c r="E37" i="30" s="1"/>
  <c r="B38" i="30"/>
  <c r="E38" i="30" s="1"/>
  <c r="B6" i="31"/>
  <c r="B6" i="30"/>
  <c r="K6" i="30" s="1"/>
  <c r="J6" i="30" s="1"/>
  <c r="B7" i="29"/>
  <c r="E7" i="29" s="1"/>
  <c r="B8" i="29"/>
  <c r="E8" i="29" s="1"/>
  <c r="B9" i="29"/>
  <c r="B10" i="29"/>
  <c r="E10" i="29" s="1"/>
  <c r="B11" i="29"/>
  <c r="E11" i="29" s="1"/>
  <c r="B12" i="29"/>
  <c r="E12" i="29" s="1"/>
  <c r="B13" i="29"/>
  <c r="B14" i="29"/>
  <c r="E14" i="29" s="1"/>
  <c r="B15" i="29"/>
  <c r="B16" i="29"/>
  <c r="E16" i="29" s="1"/>
  <c r="B17" i="29"/>
  <c r="E17" i="29" s="1"/>
  <c r="B18" i="29"/>
  <c r="E18" i="29" s="1"/>
  <c r="B19" i="29"/>
  <c r="K19" i="29" s="1"/>
  <c r="J19" i="29" s="1"/>
  <c r="B20" i="29"/>
  <c r="K20" i="29" s="1"/>
  <c r="J20" i="29" s="1"/>
  <c r="B21" i="29"/>
  <c r="B22" i="29"/>
  <c r="E22" i="29" s="1"/>
  <c r="B23" i="29"/>
  <c r="B24" i="29"/>
  <c r="E24" i="29" s="1"/>
  <c r="B25" i="29"/>
  <c r="B26" i="29"/>
  <c r="E26" i="29" s="1"/>
  <c r="B27" i="29"/>
  <c r="B28" i="29"/>
  <c r="K28" i="29" s="1"/>
  <c r="J28" i="29" s="1"/>
  <c r="B29" i="29"/>
  <c r="B30" i="29"/>
  <c r="E30" i="29" s="1"/>
  <c r="B31" i="29"/>
  <c r="K31" i="29" s="1"/>
  <c r="J31" i="29" s="1"/>
  <c r="B32" i="29"/>
  <c r="K32" i="29" s="1"/>
  <c r="B33" i="29"/>
  <c r="B34" i="29"/>
  <c r="E34" i="29" s="1"/>
  <c r="B35" i="29"/>
  <c r="K35" i="29" s="1"/>
  <c r="J35" i="29" s="1"/>
  <c r="B36" i="29"/>
  <c r="E36" i="29" s="1"/>
  <c r="B37" i="29"/>
  <c r="B38" i="29"/>
  <c r="E38" i="29" s="1"/>
  <c r="B6" i="29"/>
  <c r="B12" i="8"/>
  <c r="B7" i="38" s="1"/>
  <c r="C3" i="8"/>
  <c r="K16" i="8" s="1"/>
  <c r="C4" i="8"/>
  <c r="C5" i="8"/>
  <c r="C6" i="8"/>
  <c r="B13" i="8"/>
  <c r="B8" i="38" s="1"/>
  <c r="B14" i="8"/>
  <c r="B9" i="38" s="1"/>
  <c r="AW9" i="38" s="1"/>
  <c r="B15" i="8"/>
  <c r="B10" i="38" s="1"/>
  <c r="B16" i="8"/>
  <c r="B11" i="38" s="1"/>
  <c r="B17" i="8"/>
  <c r="B12" i="38" s="1"/>
  <c r="B18" i="8"/>
  <c r="B13" i="38" s="1"/>
  <c r="B19" i="8"/>
  <c r="B14" i="38" s="1"/>
  <c r="AW14" i="38" s="1"/>
  <c r="B20" i="8"/>
  <c r="B15" i="38" s="1"/>
  <c r="AW15" i="38" s="1"/>
  <c r="B21" i="8"/>
  <c r="B16" i="38" s="1"/>
  <c r="B22" i="8"/>
  <c r="B17" i="38" s="1"/>
  <c r="AW17" i="38" s="1"/>
  <c r="B23" i="8"/>
  <c r="B18" i="38" s="1"/>
  <c r="AW18" i="38" s="1"/>
  <c r="B24" i="8"/>
  <c r="B19" i="38" s="1"/>
  <c r="AW19" i="38" s="1"/>
  <c r="B25" i="8"/>
  <c r="B20" i="38" s="1"/>
  <c r="AW20" i="38" s="1"/>
  <c r="B26" i="8"/>
  <c r="B21" i="38" s="1"/>
  <c r="AW21" i="38" s="1"/>
  <c r="B27" i="8"/>
  <c r="B22" i="38" s="1"/>
  <c r="B28" i="8"/>
  <c r="B23" i="38" s="1"/>
  <c r="B29" i="8"/>
  <c r="B24" i="38" s="1"/>
  <c r="B30" i="8"/>
  <c r="B25" i="38" s="1"/>
  <c r="AW25" i="38" s="1"/>
  <c r="B31" i="8"/>
  <c r="B26" i="38" s="1"/>
  <c r="B32" i="8"/>
  <c r="B27" i="38" s="1"/>
  <c r="AW27" i="38" s="1"/>
  <c r="B33" i="8"/>
  <c r="B28" i="38" s="1"/>
  <c r="B34" i="8"/>
  <c r="B29" i="38" s="1"/>
  <c r="B35" i="8"/>
  <c r="B30" i="38" s="1"/>
  <c r="B36" i="8"/>
  <c r="B31" i="38" s="1"/>
  <c r="B37" i="8"/>
  <c r="B32" i="38" s="1"/>
  <c r="B38" i="8"/>
  <c r="B33" i="38" s="1"/>
  <c r="B39" i="8"/>
  <c r="B34" i="38" s="1"/>
  <c r="B40" i="8"/>
  <c r="B35" i="38" s="1"/>
  <c r="AW35" i="38" s="1"/>
  <c r="B41" i="8"/>
  <c r="B36" i="38" s="1"/>
  <c r="AW36" i="38" s="1"/>
  <c r="B42" i="8"/>
  <c r="B43" i="8"/>
  <c r="B38" i="38" s="1"/>
  <c r="AW38" i="38" s="1"/>
  <c r="B11" i="8"/>
  <c r="B6" i="38" s="1"/>
  <c r="N12" i="8"/>
  <c r="O12" i="8"/>
  <c r="N13" i="8"/>
  <c r="O13" i="8"/>
  <c r="N14" i="8"/>
  <c r="O14" i="8"/>
  <c r="N15" i="8"/>
  <c r="O15" i="8"/>
  <c r="N16" i="8"/>
  <c r="O16" i="8"/>
  <c r="N17" i="8"/>
  <c r="O17" i="8"/>
  <c r="N18" i="8"/>
  <c r="O18" i="8"/>
  <c r="N19" i="8"/>
  <c r="O19" i="8"/>
  <c r="N20" i="8"/>
  <c r="O20" i="8"/>
  <c r="N21" i="8"/>
  <c r="O21" i="8"/>
  <c r="N22" i="8"/>
  <c r="O22" i="8"/>
  <c r="N23" i="8"/>
  <c r="O23" i="8"/>
  <c r="N24" i="8"/>
  <c r="O24" i="8"/>
  <c r="N25" i="8"/>
  <c r="O25" i="8"/>
  <c r="N26" i="8"/>
  <c r="O26" i="8"/>
  <c r="N27" i="8"/>
  <c r="O27" i="8"/>
  <c r="N28" i="8"/>
  <c r="O28" i="8"/>
  <c r="N29" i="8"/>
  <c r="O29" i="8"/>
  <c r="N30" i="8"/>
  <c r="O30" i="8"/>
  <c r="N31" i="8"/>
  <c r="O31" i="8"/>
  <c r="N32" i="8"/>
  <c r="O32" i="8"/>
  <c r="N33" i="8"/>
  <c r="O33" i="8"/>
  <c r="N34" i="8"/>
  <c r="O34" i="8"/>
  <c r="N35" i="8"/>
  <c r="O35" i="8"/>
  <c r="N36" i="8"/>
  <c r="O36" i="8"/>
  <c r="N37" i="8"/>
  <c r="O37" i="8"/>
  <c r="N38" i="8"/>
  <c r="O38" i="8"/>
  <c r="N39" i="8"/>
  <c r="O39" i="8"/>
  <c r="N40" i="8"/>
  <c r="O40" i="8"/>
  <c r="N41" i="8"/>
  <c r="O41" i="8"/>
  <c r="N42" i="8"/>
  <c r="O42" i="8"/>
  <c r="N43" i="8"/>
  <c r="O43" i="8"/>
  <c r="O11" i="8"/>
  <c r="N11" i="8"/>
  <c r="B7" i="28"/>
  <c r="B8" i="28"/>
  <c r="B9" i="28"/>
  <c r="B10" i="28"/>
  <c r="B11" i="28"/>
  <c r="B12" i="28"/>
  <c r="E12" i="28" s="1"/>
  <c r="B13" i="28"/>
  <c r="B14" i="28"/>
  <c r="B15" i="28"/>
  <c r="B16" i="28"/>
  <c r="B17" i="28"/>
  <c r="B18" i="28"/>
  <c r="E18" i="28" s="1"/>
  <c r="B19" i="28"/>
  <c r="B20" i="28"/>
  <c r="E20" i="28" s="1"/>
  <c r="B21" i="28"/>
  <c r="B22" i="28"/>
  <c r="B23" i="28"/>
  <c r="B24" i="28"/>
  <c r="B25" i="28"/>
  <c r="B26" i="28"/>
  <c r="B27" i="28"/>
  <c r="B28" i="28"/>
  <c r="B29" i="28"/>
  <c r="B30" i="28"/>
  <c r="B31" i="28"/>
  <c r="E31" i="28" s="1"/>
  <c r="B32" i="28"/>
  <c r="B33" i="28"/>
  <c r="B34" i="28"/>
  <c r="B35" i="28"/>
  <c r="B36" i="28"/>
  <c r="B37" i="28"/>
  <c r="B38" i="28"/>
  <c r="E38" i="28" s="1"/>
  <c r="B6" i="28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E34" i="3" s="1"/>
  <c r="B35" i="3"/>
  <c r="B36" i="3"/>
  <c r="B37" i="3"/>
  <c r="E37" i="3" s="1"/>
  <c r="B38" i="3"/>
  <c r="E38" i="3" s="1"/>
  <c r="B6" i="3"/>
  <c r="B34" i="20"/>
  <c r="B35" i="20"/>
  <c r="B32" i="20"/>
  <c r="M32" i="20" s="1"/>
  <c r="L32" i="20" s="1"/>
  <c r="N32" i="20" s="1"/>
  <c r="B22" i="20"/>
  <c r="M22" i="20" s="1"/>
  <c r="L22" i="20" s="1"/>
  <c r="N22" i="20" s="1"/>
  <c r="C73" i="5"/>
  <c r="F24" i="5"/>
  <c r="A3" i="1"/>
  <c r="B3" i="1"/>
  <c r="A15" i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B1" i="3"/>
  <c r="E1" i="3"/>
  <c r="B2" i="3"/>
  <c r="E2" i="3"/>
  <c r="A4" i="3"/>
  <c r="B4" i="3"/>
  <c r="A6" i="3"/>
  <c r="B1" i="28"/>
  <c r="E1" i="28"/>
  <c r="B2" i="28"/>
  <c r="E2" i="28"/>
  <c r="A4" i="28"/>
  <c r="B4" i="28"/>
  <c r="A6" i="28"/>
  <c r="B1" i="8"/>
  <c r="G1" i="8"/>
  <c r="I1" i="8"/>
  <c r="B2" i="8"/>
  <c r="C2" i="8"/>
  <c r="D2" i="8"/>
  <c r="G2" i="8"/>
  <c r="I2" i="8"/>
  <c r="B3" i="8"/>
  <c r="D3" i="8"/>
  <c r="B4" i="8"/>
  <c r="D4" i="8"/>
  <c r="B5" i="8"/>
  <c r="D5" i="8"/>
  <c r="B6" i="8"/>
  <c r="D6" i="8"/>
  <c r="A10" i="8"/>
  <c r="B10" i="8"/>
  <c r="B5" i="38" s="1"/>
  <c r="A11" i="8"/>
  <c r="A6" i="38" s="1"/>
  <c r="A1" i="12"/>
  <c r="D1" i="12"/>
  <c r="F1" i="12"/>
  <c r="A2" i="12"/>
  <c r="B2" i="12"/>
  <c r="C2" i="12"/>
  <c r="D2" i="12"/>
  <c r="F2" i="12"/>
  <c r="C3" i="12"/>
  <c r="A4" i="12"/>
  <c r="C4" i="12"/>
  <c r="A5" i="12"/>
  <c r="C5" i="12"/>
  <c r="A8" i="12"/>
  <c r="B8" i="12"/>
  <c r="A9" i="12"/>
  <c r="B1" i="13"/>
  <c r="B2" i="13"/>
  <c r="D2" i="13"/>
  <c r="B3" i="13"/>
  <c r="D3" i="13"/>
  <c r="B5" i="13"/>
  <c r="D5" i="13"/>
  <c r="B6" i="13"/>
  <c r="D6" i="13"/>
  <c r="A8" i="13"/>
  <c r="B8" i="13"/>
  <c r="A9" i="13"/>
  <c r="B1" i="14"/>
  <c r="F1" i="14"/>
  <c r="B2" i="14"/>
  <c r="F2" i="14"/>
  <c r="A4" i="14"/>
  <c r="B4" i="14"/>
  <c r="A6" i="14"/>
  <c r="B1" i="29"/>
  <c r="F1" i="29"/>
  <c r="B2" i="29"/>
  <c r="F2" i="29"/>
  <c r="A6" i="29"/>
  <c r="B1" i="30"/>
  <c r="F1" i="30"/>
  <c r="B2" i="30"/>
  <c r="F2" i="30"/>
  <c r="A6" i="30"/>
  <c r="B1" i="31"/>
  <c r="F1" i="31"/>
  <c r="B2" i="31"/>
  <c r="F2" i="31"/>
  <c r="A6" i="31"/>
  <c r="B1" i="32"/>
  <c r="F1" i="32"/>
  <c r="B2" i="32"/>
  <c r="F2" i="32"/>
  <c r="A4" i="32"/>
  <c r="B4" i="32"/>
  <c r="A6" i="32"/>
  <c r="A5" i="19"/>
  <c r="B5" i="19"/>
  <c r="F6" i="19"/>
  <c r="H6" i="19"/>
  <c r="I6" i="19"/>
  <c r="A7" i="19"/>
  <c r="B1" i="20"/>
  <c r="E1" i="20"/>
  <c r="B2" i="20"/>
  <c r="C2" i="20"/>
  <c r="D2" i="20"/>
  <c r="E2" i="20"/>
  <c r="F2" i="20"/>
  <c r="B3" i="20"/>
  <c r="C3" i="20"/>
  <c r="D3" i="20"/>
  <c r="B4" i="20"/>
  <c r="C4" i="20"/>
  <c r="D4" i="20"/>
  <c r="B5" i="20"/>
  <c r="C5" i="20"/>
  <c r="D5" i="20"/>
  <c r="B6" i="20"/>
  <c r="D6" i="20"/>
  <c r="B7" i="20"/>
  <c r="D7" i="20"/>
  <c r="A10" i="20"/>
  <c r="B10" i="20"/>
  <c r="A11" i="20"/>
  <c r="B11" i="20"/>
  <c r="B12" i="20"/>
  <c r="M12" i="20" s="1"/>
  <c r="L12" i="20" s="1"/>
  <c r="N12" i="20" s="1"/>
  <c r="B13" i="20"/>
  <c r="M13" i="20" s="1"/>
  <c r="L13" i="20" s="1"/>
  <c r="N13" i="20" s="1"/>
  <c r="B14" i="20"/>
  <c r="M14" i="20" s="1"/>
  <c r="L14" i="20" s="1"/>
  <c r="N14" i="20" s="1"/>
  <c r="B15" i="20"/>
  <c r="B16" i="20"/>
  <c r="B17" i="20"/>
  <c r="M17" i="20" s="1"/>
  <c r="L17" i="20" s="1"/>
  <c r="N17" i="20" s="1"/>
  <c r="B18" i="20"/>
  <c r="M18" i="20" s="1"/>
  <c r="L18" i="20" s="1"/>
  <c r="N18" i="20" s="1"/>
  <c r="B19" i="20"/>
  <c r="B20" i="20"/>
  <c r="M20" i="20" s="1"/>
  <c r="L20" i="20" s="1"/>
  <c r="N20" i="20" s="1"/>
  <c r="B21" i="20"/>
  <c r="M21" i="20" s="1"/>
  <c r="L21" i="20" s="1"/>
  <c r="N21" i="20" s="1"/>
  <c r="B23" i="20"/>
  <c r="M23" i="20" s="1"/>
  <c r="L23" i="20" s="1"/>
  <c r="N23" i="20" s="1"/>
  <c r="B24" i="20"/>
  <c r="B25" i="20"/>
  <c r="M25" i="20" s="1"/>
  <c r="L25" i="20" s="1"/>
  <c r="N25" i="20" s="1"/>
  <c r="B26" i="20"/>
  <c r="G26" i="20" s="1"/>
  <c r="B27" i="20"/>
  <c r="M27" i="20" s="1"/>
  <c r="L27" i="20" s="1"/>
  <c r="N27" i="20" s="1"/>
  <c r="B28" i="20"/>
  <c r="B29" i="20"/>
  <c r="M29" i="20" s="1"/>
  <c r="L29" i="20" s="1"/>
  <c r="N29" i="20" s="1"/>
  <c r="B30" i="20"/>
  <c r="B31" i="20"/>
  <c r="M31" i="20" s="1"/>
  <c r="L31" i="20" s="1"/>
  <c r="N31" i="20" s="1"/>
  <c r="B33" i="20"/>
  <c r="M33" i="20" s="1"/>
  <c r="L33" i="20" s="1"/>
  <c r="N33" i="20" s="1"/>
  <c r="F44" i="20"/>
  <c r="D1" i="33"/>
  <c r="F1" i="33"/>
  <c r="D2" i="33"/>
  <c r="B1" i="36"/>
  <c r="G6" i="42" s="1"/>
  <c r="D1" i="36"/>
  <c r="H6" i="42" s="1"/>
  <c r="B2" i="36"/>
  <c r="G7" i="42" s="1"/>
  <c r="D2" i="36"/>
  <c r="H7" i="42" s="1"/>
  <c r="A5" i="36"/>
  <c r="B5" i="36"/>
  <c r="A6" i="36"/>
  <c r="A11" i="42" s="1"/>
  <c r="B31" i="43" s="1"/>
  <c r="B6" i="36"/>
  <c r="B11" i="42" s="1"/>
  <c r="C31" i="43" s="1"/>
  <c r="B7" i="36"/>
  <c r="B12" i="42" s="1"/>
  <c r="C32" i="43" s="1"/>
  <c r="B8" i="36"/>
  <c r="B13" i="42" s="1"/>
  <c r="C33" i="43" s="1"/>
  <c r="B9" i="36"/>
  <c r="B14" i="42" s="1"/>
  <c r="C34" i="43" s="1"/>
  <c r="B10" i="36"/>
  <c r="B15" i="42" s="1"/>
  <c r="C35" i="43" s="1"/>
  <c r="B11" i="36"/>
  <c r="B16" i="42" s="1"/>
  <c r="C36" i="43" s="1"/>
  <c r="B12" i="36"/>
  <c r="B17" i="42" s="1"/>
  <c r="C37" i="43" s="1"/>
  <c r="B13" i="36"/>
  <c r="B18" i="42" s="1"/>
  <c r="C38" i="43" s="1"/>
  <c r="B14" i="36"/>
  <c r="B19" i="42" s="1"/>
  <c r="C39" i="43" s="1"/>
  <c r="B15" i="36"/>
  <c r="B20" i="42" s="1"/>
  <c r="C40" i="43" s="1"/>
  <c r="B16" i="36"/>
  <c r="B21" i="42" s="1"/>
  <c r="C41" i="43" s="1"/>
  <c r="B17" i="36"/>
  <c r="B22" i="42" s="1"/>
  <c r="C42" i="43" s="1"/>
  <c r="B18" i="36"/>
  <c r="B23" i="42" s="1"/>
  <c r="C43" i="43" s="1"/>
  <c r="B19" i="36"/>
  <c r="B24" i="42" s="1"/>
  <c r="C44" i="43" s="1"/>
  <c r="B20" i="36"/>
  <c r="B25" i="42" s="1"/>
  <c r="C45" i="43" s="1"/>
  <c r="B21" i="36"/>
  <c r="B26" i="42" s="1"/>
  <c r="C46" i="43" s="1"/>
  <c r="B22" i="36"/>
  <c r="B27" i="42" s="1"/>
  <c r="C47" i="43" s="1"/>
  <c r="B23" i="36"/>
  <c r="B28" i="42" s="1"/>
  <c r="C48" i="43" s="1"/>
  <c r="B24" i="36"/>
  <c r="B29" i="42" s="1"/>
  <c r="C49" i="43" s="1"/>
  <c r="B25" i="36"/>
  <c r="B30" i="42" s="1"/>
  <c r="C50" i="43" s="1"/>
  <c r="B26" i="36"/>
  <c r="B31" i="42" s="1"/>
  <c r="C51" i="43" s="1"/>
  <c r="B27" i="36"/>
  <c r="B32" i="42" s="1"/>
  <c r="C52" i="43" s="1"/>
  <c r="B28" i="36"/>
  <c r="B33" i="42" s="1"/>
  <c r="C53" i="43" s="1"/>
  <c r="B29" i="36"/>
  <c r="B34" i="42" s="1"/>
  <c r="C54" i="43" s="1"/>
  <c r="B30" i="36"/>
  <c r="B35" i="42" s="1"/>
  <c r="C55" i="43" s="1"/>
  <c r="B31" i="36"/>
  <c r="B36" i="42" s="1"/>
  <c r="C56" i="43" s="1"/>
  <c r="B32" i="36"/>
  <c r="B37" i="42" s="1"/>
  <c r="C57" i="43" s="1"/>
  <c r="B33" i="36"/>
  <c r="B38" i="42" s="1"/>
  <c r="C58" i="43" s="1"/>
  <c r="B34" i="36"/>
  <c r="B39" i="42" s="1"/>
  <c r="C59" i="43" s="1"/>
  <c r="B35" i="36"/>
  <c r="B40" i="42" s="1"/>
  <c r="C60" i="43" s="1"/>
  <c r="B36" i="36"/>
  <c r="B41" i="42" s="1"/>
  <c r="C61" i="43" s="1"/>
  <c r="B37" i="36"/>
  <c r="B42" i="42" s="1"/>
  <c r="C62" i="43" s="1"/>
  <c r="B38" i="36"/>
  <c r="B43" i="42" s="1"/>
  <c r="C63" i="43" s="1"/>
  <c r="E39" i="36"/>
  <c r="B1" i="25"/>
  <c r="D1" i="25"/>
  <c r="B2" i="25"/>
  <c r="A4" i="25"/>
  <c r="B4" i="25"/>
  <c r="A5" i="25"/>
  <c r="B5" i="25"/>
  <c r="B6" i="25"/>
  <c r="B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H20" i="25" s="1"/>
  <c r="C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H36" i="25" s="1"/>
  <c r="C36" i="25"/>
  <c r="B37" i="25"/>
  <c r="H37" i="25" s="1"/>
  <c r="F37" i="28"/>
  <c r="G37" i="28" s="1"/>
  <c r="C40" i="13" s="1"/>
  <c r="C39" i="19"/>
  <c r="O39" i="19" s="1"/>
  <c r="P39" i="19" s="1"/>
  <c r="C43" i="20" s="1"/>
  <c r="F37" i="32"/>
  <c r="F37" i="31"/>
  <c r="F37" i="30"/>
  <c r="K37" i="30"/>
  <c r="J37" i="30" s="1"/>
  <c r="F38" i="32"/>
  <c r="F38" i="29"/>
  <c r="K11" i="8"/>
  <c r="K29" i="8"/>
  <c r="K26" i="29"/>
  <c r="J26" i="29" s="1"/>
  <c r="K30" i="14"/>
  <c r="J30" i="14" s="1"/>
  <c r="K22" i="14"/>
  <c r="J22" i="14" s="1"/>
  <c r="HF11" i="37"/>
  <c r="HE11" i="37"/>
  <c r="K22" i="29"/>
  <c r="J22" i="29" s="1"/>
  <c r="K24" i="29"/>
  <c r="J24" i="29" s="1"/>
  <c r="K7" i="29"/>
  <c r="J7" i="29" s="1"/>
  <c r="K11" i="29"/>
  <c r="J11" i="29" s="1"/>
  <c r="K18" i="29"/>
  <c r="J18" i="29" s="1"/>
  <c r="K30" i="29"/>
  <c r="J30" i="29" s="1"/>
  <c r="K34" i="29"/>
  <c r="J34" i="29" s="1"/>
  <c r="K21" i="30"/>
  <c r="J21" i="30" s="1"/>
  <c r="K13" i="30"/>
  <c r="J13" i="30" s="1"/>
  <c r="K9" i="30"/>
  <c r="J9" i="30" s="1"/>
  <c r="K17" i="30"/>
  <c r="J17" i="30" s="1"/>
  <c r="K20" i="30"/>
  <c r="J20" i="30" s="1"/>
  <c r="K25" i="30"/>
  <c r="J25" i="30" s="1"/>
  <c r="K33" i="30"/>
  <c r="J33" i="30" s="1"/>
  <c r="K12" i="31"/>
  <c r="J12" i="31" s="1"/>
  <c r="K25" i="31"/>
  <c r="J25" i="31" s="1"/>
  <c r="K37" i="31"/>
  <c r="J37" i="31" s="1"/>
  <c r="L13" i="32"/>
  <c r="K13" i="32" s="1"/>
  <c r="L10" i="32"/>
  <c r="K10" i="32" s="1"/>
  <c r="L18" i="32"/>
  <c r="K18" i="32" s="1"/>
  <c r="L26" i="32"/>
  <c r="K26" i="32" s="1"/>
  <c r="L37" i="32"/>
  <c r="K37" i="32" s="1"/>
  <c r="L38" i="32"/>
  <c r="K38" i="32" s="1"/>
  <c r="K16" i="14"/>
  <c r="J16" i="14" s="1"/>
  <c r="J38" i="28"/>
  <c r="K27" i="14"/>
  <c r="J27" i="14" s="1"/>
  <c r="L38" i="8"/>
  <c r="L25" i="8"/>
  <c r="K31" i="14"/>
  <c r="J31" i="14" s="1"/>
  <c r="A12" i="8"/>
  <c r="A7" i="38" s="1"/>
  <c r="J38" i="3"/>
  <c r="A7" i="14"/>
  <c r="A7" i="31"/>
  <c r="K10" i="29"/>
  <c r="J10" i="29" s="1"/>
  <c r="K26" i="14"/>
  <c r="J26" i="14" s="1"/>
  <c r="HG34" i="37"/>
  <c r="M30" i="20"/>
  <c r="L30" i="20" s="1"/>
  <c r="N30" i="20" s="1"/>
  <c r="E15" i="29"/>
  <c r="K15" i="29"/>
  <c r="J15" i="29" s="1"/>
  <c r="M16" i="20"/>
  <c r="L16" i="20" s="1"/>
  <c r="N16" i="20" s="1"/>
  <c r="E33" i="32"/>
  <c r="L33" i="32"/>
  <c r="K33" i="32" s="1"/>
  <c r="E29" i="32"/>
  <c r="L29" i="32"/>
  <c r="K29" i="32" s="1"/>
  <c r="E25" i="32"/>
  <c r="L25" i="32"/>
  <c r="K25" i="32" s="1"/>
  <c r="E21" i="32"/>
  <c r="L21" i="32"/>
  <c r="K21" i="32" s="1"/>
  <c r="E11" i="14"/>
  <c r="K11" i="14"/>
  <c r="J11" i="14" s="1"/>
  <c r="K37" i="8"/>
  <c r="K30" i="8"/>
  <c r="L36" i="8"/>
  <c r="L13" i="8"/>
  <c r="E35" i="29"/>
  <c r="E31" i="29"/>
  <c r="E27" i="29"/>
  <c r="K27" i="29"/>
  <c r="J27" i="29" s="1"/>
  <c r="E23" i="29"/>
  <c r="K23" i="29"/>
  <c r="J23" i="29" s="1"/>
  <c r="E19" i="29"/>
  <c r="E32" i="30"/>
  <c r="K38" i="31"/>
  <c r="J38" i="31" s="1"/>
  <c r="E33" i="31"/>
  <c r="K33" i="31"/>
  <c r="J33" i="31" s="1"/>
  <c r="E29" i="31"/>
  <c r="K29" i="31"/>
  <c r="J29" i="31" s="1"/>
  <c r="K9" i="31"/>
  <c r="J9" i="31" s="1"/>
  <c r="K38" i="14"/>
  <c r="J38" i="14" s="1"/>
  <c r="F38" i="14"/>
  <c r="G38" i="14" s="1"/>
  <c r="K15" i="14"/>
  <c r="J15" i="14" s="1"/>
  <c r="L31" i="32"/>
  <c r="K31" i="32" s="1"/>
  <c r="E38" i="14"/>
  <c r="K8" i="30"/>
  <c r="J8" i="30" s="1"/>
  <c r="E24" i="31"/>
  <c r="K29" i="30"/>
  <c r="J29" i="30" s="1"/>
  <c r="E29" i="30"/>
  <c r="V43" i="37"/>
  <c r="V8" i="37" s="1"/>
  <c r="HF18" i="37"/>
  <c r="HG18" i="37"/>
  <c r="HE18" i="37"/>
  <c r="HE15" i="37"/>
  <c r="HF15" i="37"/>
  <c r="E20" i="31"/>
  <c r="K20" i="31"/>
  <c r="J20" i="31" s="1"/>
  <c r="E9" i="32"/>
  <c r="K6" i="14"/>
  <c r="J6" i="14" s="1"/>
  <c r="E34" i="14"/>
  <c r="E17" i="32"/>
  <c r="L17" i="32"/>
  <c r="K17" i="32" s="1"/>
  <c r="E14" i="32"/>
  <c r="L14" i="32"/>
  <c r="K14" i="32" s="1"/>
  <c r="K23" i="14"/>
  <c r="J23" i="14" s="1"/>
  <c r="E19" i="14"/>
  <c r="K19" i="14"/>
  <c r="J19" i="14" s="1"/>
  <c r="G16" i="20"/>
  <c r="F38" i="3"/>
  <c r="G38" i="3" s="1"/>
  <c r="F38" i="28"/>
  <c r="G38" i="28" s="1"/>
  <c r="C41" i="13" s="1"/>
  <c r="A13" i="8"/>
  <c r="A8" i="38" s="1"/>
  <c r="E6" i="29"/>
  <c r="K6" i="29"/>
  <c r="J6" i="29" s="1"/>
  <c r="O6" i="19"/>
  <c r="E32" i="31"/>
  <c r="K32" i="31"/>
  <c r="J32" i="31" s="1"/>
  <c r="K35" i="14"/>
  <c r="J35" i="14" s="1"/>
  <c r="K16" i="31"/>
  <c r="J16" i="31" s="1"/>
  <c r="E10" i="28"/>
  <c r="HE34" i="37"/>
  <c r="HF34" i="37"/>
  <c r="HE27" i="37"/>
  <c r="HG27" i="37"/>
  <c r="F37" i="3"/>
  <c r="G37" i="3" s="1"/>
  <c r="A8" i="30"/>
  <c r="A14" i="20"/>
  <c r="A9" i="30"/>
  <c r="L6" i="32"/>
  <c r="K6" i="32" s="1"/>
  <c r="E19" i="32"/>
  <c r="K21" i="14"/>
  <c r="J21" i="14" s="1"/>
  <c r="K36" i="30"/>
  <c r="J36" i="30" s="1"/>
  <c r="E36" i="30"/>
  <c r="K24" i="30"/>
  <c r="J24" i="30" s="1"/>
  <c r="E24" i="30"/>
  <c r="E16" i="30"/>
  <c r="K16" i="30"/>
  <c r="J16" i="30" s="1"/>
  <c r="E12" i="30"/>
  <c r="K12" i="30"/>
  <c r="J12" i="30" s="1"/>
  <c r="E28" i="31"/>
  <c r="K28" i="31"/>
  <c r="J28" i="31" s="1"/>
  <c r="E21" i="31"/>
  <c r="K21" i="31"/>
  <c r="J21" i="31" s="1"/>
  <c r="E17" i="31"/>
  <c r="E9" i="31"/>
  <c r="M35" i="20"/>
  <c r="L35" i="20" s="1"/>
  <c r="N35" i="20" s="1"/>
  <c r="E34" i="28"/>
  <c r="J10" i="28"/>
  <c r="K39" i="8"/>
  <c r="K14" i="14"/>
  <c r="J14" i="14" s="1"/>
  <c r="E14" i="14"/>
  <c r="K10" i="14"/>
  <c r="J10" i="14" s="1"/>
  <c r="E10" i="14"/>
  <c r="K40" i="8"/>
  <c r="HG39" i="37"/>
  <c r="HF39" i="37"/>
  <c r="HE39" i="37"/>
  <c r="HF30" i="37"/>
  <c r="HE30" i="37"/>
  <c r="HG30" i="37"/>
  <c r="L22" i="32"/>
  <c r="K22" i="32" s="1"/>
  <c r="HE23" i="37"/>
  <c r="HF9" i="37"/>
  <c r="E28" i="30"/>
  <c r="E6" i="30"/>
  <c r="K7" i="14"/>
  <c r="J7" i="14" s="1"/>
  <c r="L30" i="32"/>
  <c r="K30" i="32" s="1"/>
  <c r="K30" i="31"/>
  <c r="J30" i="31" s="1"/>
  <c r="K8" i="31"/>
  <c r="J8" i="31" s="1"/>
  <c r="J18" i="28"/>
  <c r="K38" i="29"/>
  <c r="J38" i="29" s="1"/>
  <c r="K13" i="31"/>
  <c r="J13" i="31" s="1"/>
  <c r="E18" i="14"/>
  <c r="J37" i="3"/>
  <c r="K36" i="31"/>
  <c r="J36" i="31" s="1"/>
  <c r="A9" i="29"/>
  <c r="A14" i="8"/>
  <c r="A9" i="38" s="1"/>
  <c r="A8" i="31"/>
  <c r="A10" i="29"/>
  <c r="A11" i="19"/>
  <c r="A8" i="32"/>
  <c r="D13" i="12"/>
  <c r="A8" i="14"/>
  <c r="D15" i="12"/>
  <c r="D17" i="12"/>
  <c r="D9" i="12"/>
  <c r="D11" i="12"/>
  <c r="K14" i="29" l="1"/>
  <c r="J14" i="29" s="1"/>
  <c r="W6" i="38"/>
  <c r="AW6" i="38"/>
  <c r="L23" i="32"/>
  <c r="K23" i="32" s="1"/>
  <c r="L15" i="32"/>
  <c r="K15" i="32" s="1"/>
  <c r="K10" i="31"/>
  <c r="J10" i="31" s="1"/>
  <c r="D10" i="42"/>
  <c r="F10" i="42"/>
  <c r="E10" i="42"/>
  <c r="AW22" i="38"/>
  <c r="W22" i="38"/>
  <c r="K34" i="30"/>
  <c r="J34" i="30" s="1"/>
  <c r="K36" i="29"/>
  <c r="J36" i="29" s="1"/>
  <c r="G22" i="20"/>
  <c r="E22" i="31"/>
  <c r="K22" i="30"/>
  <c r="J22" i="30" s="1"/>
  <c r="K32" i="14"/>
  <c r="J32" i="14" s="1"/>
  <c r="K12" i="29"/>
  <c r="HE32" i="37"/>
  <c r="E20" i="29"/>
  <c r="E27" i="32"/>
  <c r="E32" i="29"/>
  <c r="K18" i="30"/>
  <c r="J18" i="30" s="1"/>
  <c r="E28" i="14"/>
  <c r="L11" i="32"/>
  <c r="K11" i="32" s="1"/>
  <c r="E7" i="32"/>
  <c r="HE28" i="37"/>
  <c r="J31" i="28"/>
  <c r="K26" i="31"/>
  <c r="J26" i="31" s="1"/>
  <c r="F38" i="30"/>
  <c r="G31" i="20"/>
  <c r="K24" i="14"/>
  <c r="J24" i="14" s="1"/>
  <c r="K34" i="31"/>
  <c r="M26" i="20"/>
  <c r="L26" i="20" s="1"/>
  <c r="N26" i="20" s="1"/>
  <c r="E28" i="29"/>
  <c r="G35" i="20"/>
  <c r="L35" i="32"/>
  <c r="K35" i="32" s="1"/>
  <c r="G40" i="20"/>
  <c r="G13" i="20"/>
  <c r="K36" i="14"/>
  <c r="J36" i="14" s="1"/>
  <c r="K30" i="30"/>
  <c r="J30" i="30" s="1"/>
  <c r="G43" i="8"/>
  <c r="G28" i="20"/>
  <c r="G19" i="20"/>
  <c r="HG16" i="37"/>
  <c r="E14" i="30"/>
  <c r="HE16" i="37"/>
  <c r="I62" i="43"/>
  <c r="M62" i="43"/>
  <c r="C42" i="40" s="1"/>
  <c r="N62" i="43"/>
  <c r="J62" i="43"/>
  <c r="S62" i="43"/>
  <c r="G62" i="43"/>
  <c r="K62" i="43"/>
  <c r="E62" i="43"/>
  <c r="T62" i="43"/>
  <c r="H62" i="43"/>
  <c r="L62" i="43"/>
  <c r="S58" i="43"/>
  <c r="E58" i="43"/>
  <c r="I58" i="43" s="1"/>
  <c r="T58" i="43"/>
  <c r="S54" i="43"/>
  <c r="E54" i="43"/>
  <c r="I54" i="43" s="1"/>
  <c r="T54" i="43"/>
  <c r="S50" i="43"/>
  <c r="E50" i="43"/>
  <c r="I50" i="43" s="1"/>
  <c r="T50" i="43"/>
  <c r="G46" i="43"/>
  <c r="K46" i="43"/>
  <c r="H46" i="43"/>
  <c r="S46" i="43"/>
  <c r="I46" i="43"/>
  <c r="M46" i="43"/>
  <c r="E46" i="43"/>
  <c r="L46" i="43"/>
  <c r="T46" i="43"/>
  <c r="J46" i="43"/>
  <c r="N46" i="43"/>
  <c r="E38" i="43"/>
  <c r="I38" i="43" s="1"/>
  <c r="S38" i="43"/>
  <c r="T38" i="43"/>
  <c r="E34" i="43"/>
  <c r="I34" i="43" s="1"/>
  <c r="S34" i="43"/>
  <c r="T34" i="43"/>
  <c r="AH6" i="38"/>
  <c r="AD6" i="38"/>
  <c r="AG6" i="38"/>
  <c r="AC6" i="38"/>
  <c r="AB6" i="38"/>
  <c r="AA6" i="38"/>
  <c r="AE6" i="38"/>
  <c r="AF6" i="38"/>
  <c r="AA35" i="38"/>
  <c r="AE35" i="38"/>
  <c r="AB35" i="38"/>
  <c r="AF35" i="38"/>
  <c r="AC35" i="38"/>
  <c r="AG35" i="38"/>
  <c r="AX35" i="38"/>
  <c r="AP35" i="38"/>
  <c r="AD35" i="38"/>
  <c r="AH35" i="38"/>
  <c r="AO35" i="38"/>
  <c r="AZ35" i="38"/>
  <c r="BA35" i="38"/>
  <c r="AA31" i="38"/>
  <c r="AE31" i="38"/>
  <c r="AB31" i="38"/>
  <c r="AF31" i="38"/>
  <c r="AC31" i="38"/>
  <c r="AG31" i="38"/>
  <c r="AZ31" i="38"/>
  <c r="AD31" i="38"/>
  <c r="AH31" i="38"/>
  <c r="AP31" i="38"/>
  <c r="BA31" i="38"/>
  <c r="AO31" i="38"/>
  <c r="AA27" i="38"/>
  <c r="AE27" i="38"/>
  <c r="AB27" i="38"/>
  <c r="AF27" i="38"/>
  <c r="AC27" i="38"/>
  <c r="AG27" i="38"/>
  <c r="AD27" i="38"/>
  <c r="AH27" i="38"/>
  <c r="AO27" i="38"/>
  <c r="AX27" i="38"/>
  <c r="BA27" i="38"/>
  <c r="AZ27" i="38"/>
  <c r="AP27" i="38"/>
  <c r="AA23" i="38"/>
  <c r="AE23" i="38"/>
  <c r="AB23" i="38"/>
  <c r="AF23" i="38"/>
  <c r="AC23" i="38"/>
  <c r="AG23" i="38"/>
  <c r="AD23" i="38"/>
  <c r="AH23" i="38"/>
  <c r="AP23" i="38"/>
  <c r="AO23" i="38"/>
  <c r="BA23" i="38"/>
  <c r="AZ23" i="38"/>
  <c r="AA19" i="38"/>
  <c r="AE19" i="38"/>
  <c r="AB19" i="38"/>
  <c r="AF19" i="38"/>
  <c r="AC19" i="38"/>
  <c r="AG19" i="38"/>
  <c r="AD19" i="38"/>
  <c r="AH19" i="38"/>
  <c r="BA19" i="38"/>
  <c r="AO19" i="38"/>
  <c r="AZ19" i="38"/>
  <c r="AX19" i="38"/>
  <c r="AP19" i="38"/>
  <c r="AA15" i="38"/>
  <c r="AE15" i="38"/>
  <c r="AB15" i="38"/>
  <c r="AF15" i="38"/>
  <c r="AC15" i="38"/>
  <c r="AG15" i="38"/>
  <c r="AD15" i="38"/>
  <c r="AH15" i="38"/>
  <c r="BA15" i="38"/>
  <c r="AZ15" i="38"/>
  <c r="AP15" i="38"/>
  <c r="AO15" i="38"/>
  <c r="AA11" i="38"/>
  <c r="AE11" i="38"/>
  <c r="AB11" i="38"/>
  <c r="AF11" i="38"/>
  <c r="AC11" i="38"/>
  <c r="AG11" i="38"/>
  <c r="AD11" i="38"/>
  <c r="AH11" i="38"/>
  <c r="AO11" i="38"/>
  <c r="BA11" i="38"/>
  <c r="AZ11" i="38"/>
  <c r="AP11" i="38"/>
  <c r="AA7" i="38"/>
  <c r="AE7" i="38"/>
  <c r="AB7" i="38"/>
  <c r="AF7" i="38"/>
  <c r="AC7" i="38"/>
  <c r="AG7" i="38"/>
  <c r="AD7" i="38"/>
  <c r="AH7" i="38"/>
  <c r="AP7" i="38"/>
  <c r="AO7" i="38"/>
  <c r="AZ7" i="38"/>
  <c r="BA7" i="38"/>
  <c r="G38" i="29"/>
  <c r="G37" i="30"/>
  <c r="T61" i="43"/>
  <c r="E61" i="43"/>
  <c r="I61" i="43" s="1"/>
  <c r="S61" i="43"/>
  <c r="T57" i="43"/>
  <c r="E57" i="43"/>
  <c r="I57" i="43" s="1"/>
  <c r="S57" i="43"/>
  <c r="T53" i="43"/>
  <c r="E53" i="43"/>
  <c r="I53" i="43" s="1"/>
  <c r="S53" i="43"/>
  <c r="T49" i="43"/>
  <c r="E49" i="43"/>
  <c r="I49" i="43" s="1"/>
  <c r="S49" i="43"/>
  <c r="T41" i="43"/>
  <c r="S41" i="43"/>
  <c r="E41" i="43"/>
  <c r="I41" i="43" s="1"/>
  <c r="T37" i="43"/>
  <c r="S37" i="43"/>
  <c r="E37" i="43"/>
  <c r="I37" i="43" s="1"/>
  <c r="T33" i="43"/>
  <c r="S33" i="43"/>
  <c r="E33" i="43"/>
  <c r="I33" i="43" s="1"/>
  <c r="AA38" i="38"/>
  <c r="AE38" i="38"/>
  <c r="AB38" i="38"/>
  <c r="AF38" i="38"/>
  <c r="AC38" i="38"/>
  <c r="AG38" i="38"/>
  <c r="BA38" i="38"/>
  <c r="AO38" i="38"/>
  <c r="AD38" i="38"/>
  <c r="AH38" i="38"/>
  <c r="AZ38" i="38"/>
  <c r="AP38" i="38"/>
  <c r="AX38" i="38"/>
  <c r="AA34" i="38"/>
  <c r="AE34" i="38"/>
  <c r="AB34" i="38"/>
  <c r="AF34" i="38"/>
  <c r="AC34" i="38"/>
  <c r="AG34" i="38"/>
  <c r="AD34" i="38"/>
  <c r="AH34" i="38"/>
  <c r="AP34" i="38"/>
  <c r="AZ34" i="38"/>
  <c r="AO34" i="38"/>
  <c r="BA34" i="38"/>
  <c r="AA30" i="38"/>
  <c r="AE30" i="38"/>
  <c r="AB30" i="38"/>
  <c r="AF30" i="38"/>
  <c r="AC30" i="38"/>
  <c r="AG30" i="38"/>
  <c r="AD30" i="38"/>
  <c r="AH30" i="38"/>
  <c r="BA30" i="38"/>
  <c r="AO30" i="38"/>
  <c r="AP30" i="38"/>
  <c r="AZ30" i="38"/>
  <c r="AA26" i="38"/>
  <c r="AE26" i="38"/>
  <c r="AB26" i="38"/>
  <c r="AF26" i="38"/>
  <c r="AC26" i="38"/>
  <c r="AG26" i="38"/>
  <c r="AD26" i="38"/>
  <c r="AH26" i="38"/>
  <c r="AP26" i="38"/>
  <c r="BA26" i="38"/>
  <c r="AO26" i="38"/>
  <c r="AZ26" i="38"/>
  <c r="AA22" i="38"/>
  <c r="AE22" i="38"/>
  <c r="AB22" i="38"/>
  <c r="AF22" i="38"/>
  <c r="AC22" i="38"/>
  <c r="AG22" i="38"/>
  <c r="AD22" i="38"/>
  <c r="AH22" i="38"/>
  <c r="AX22" i="38"/>
  <c r="AP22" i="38"/>
  <c r="AZ22" i="38"/>
  <c r="BA22" i="38"/>
  <c r="AO22" i="38"/>
  <c r="AA18" i="38"/>
  <c r="AE18" i="38"/>
  <c r="AB18" i="38"/>
  <c r="AF18" i="38"/>
  <c r="AC18" i="38"/>
  <c r="AG18" i="38"/>
  <c r="AD18" i="38"/>
  <c r="AH18" i="38"/>
  <c r="BA18" i="38"/>
  <c r="AO18" i="38"/>
  <c r="AZ18" i="38"/>
  <c r="AP18" i="38"/>
  <c r="AA14" i="38"/>
  <c r="AE14" i="38"/>
  <c r="AB14" i="38"/>
  <c r="AF14" i="38"/>
  <c r="AC14" i="38"/>
  <c r="AG14" i="38"/>
  <c r="AD14" i="38"/>
  <c r="AH14" i="38"/>
  <c r="BA14" i="38"/>
  <c r="AO14" i="38"/>
  <c r="AP14" i="38"/>
  <c r="AZ14" i="38"/>
  <c r="AA10" i="38"/>
  <c r="AE10" i="38"/>
  <c r="AB10" i="38"/>
  <c r="AF10" i="38"/>
  <c r="AC10" i="38"/>
  <c r="AG10" i="38"/>
  <c r="AD10" i="38"/>
  <c r="AH10" i="38"/>
  <c r="AP10" i="38"/>
  <c r="BA10" i="38"/>
  <c r="AO10" i="38"/>
  <c r="AZ10" i="38"/>
  <c r="G37" i="31"/>
  <c r="S60" i="43"/>
  <c r="E60" i="43"/>
  <c r="I60" i="43" s="1"/>
  <c r="T60" i="43"/>
  <c r="S56" i="43"/>
  <c r="E56" i="43"/>
  <c r="I56" i="43" s="1"/>
  <c r="T56" i="43"/>
  <c r="S52" i="43"/>
  <c r="E52" i="43"/>
  <c r="I52" i="43" s="1"/>
  <c r="T52" i="43"/>
  <c r="S48" i="43"/>
  <c r="E48" i="43"/>
  <c r="I48" i="43" s="1"/>
  <c r="T48" i="43"/>
  <c r="S44" i="43"/>
  <c r="E44" i="43"/>
  <c r="I44" i="43" s="1"/>
  <c r="T44" i="43"/>
  <c r="S40" i="43"/>
  <c r="T40" i="43"/>
  <c r="E40" i="43"/>
  <c r="I40" i="43" s="1"/>
  <c r="S36" i="43"/>
  <c r="T36" i="43"/>
  <c r="E36" i="43"/>
  <c r="I36" i="43" s="1"/>
  <c r="E32" i="43"/>
  <c r="I32" i="43" s="1"/>
  <c r="S32" i="43"/>
  <c r="T32" i="43"/>
  <c r="AA33" i="38"/>
  <c r="AE33" i="38"/>
  <c r="AB33" i="38"/>
  <c r="AF33" i="38"/>
  <c r="AC33" i="38"/>
  <c r="AG33" i="38"/>
  <c r="AZ33" i="38"/>
  <c r="AD33" i="38"/>
  <c r="AH33" i="38"/>
  <c r="AP33" i="38"/>
  <c r="BA33" i="38"/>
  <c r="AO33" i="38"/>
  <c r="AA29" i="38"/>
  <c r="AE29" i="38"/>
  <c r="AB29" i="38"/>
  <c r="AF29" i="38"/>
  <c r="AC29" i="38"/>
  <c r="AG29" i="38"/>
  <c r="AD29" i="38"/>
  <c r="AH29" i="38"/>
  <c r="AO29" i="38"/>
  <c r="BA29" i="38"/>
  <c r="AZ29" i="38"/>
  <c r="AP29" i="38"/>
  <c r="AA25" i="38"/>
  <c r="AE25" i="38"/>
  <c r="AB25" i="38"/>
  <c r="AF25" i="38"/>
  <c r="AC25" i="38"/>
  <c r="AG25" i="38"/>
  <c r="AD25" i="38"/>
  <c r="AH25" i="38"/>
  <c r="AX25" i="38"/>
  <c r="AP25" i="38"/>
  <c r="AO25" i="38"/>
  <c r="BA25" i="38"/>
  <c r="AZ25" i="38"/>
  <c r="AA21" i="38"/>
  <c r="AE21" i="38"/>
  <c r="AB21" i="38"/>
  <c r="AF21" i="38"/>
  <c r="AC21" i="38"/>
  <c r="AG21" i="38"/>
  <c r="AD21" i="38"/>
  <c r="AH21" i="38"/>
  <c r="AZ21" i="38"/>
  <c r="BA21" i="38"/>
  <c r="AX21" i="38"/>
  <c r="AP21" i="38"/>
  <c r="AO21" i="38"/>
  <c r="AA13" i="38"/>
  <c r="AE13" i="38"/>
  <c r="AB13" i="38"/>
  <c r="AF13" i="38"/>
  <c r="AC13" i="38"/>
  <c r="AG13" i="38"/>
  <c r="AD13" i="38"/>
  <c r="AH13" i="38"/>
  <c r="AO13" i="38"/>
  <c r="BA13" i="38"/>
  <c r="AP13" i="38"/>
  <c r="AZ13" i="38"/>
  <c r="AA9" i="38"/>
  <c r="AE9" i="38"/>
  <c r="AB9" i="38"/>
  <c r="AF9" i="38"/>
  <c r="AC9" i="38"/>
  <c r="AG9" i="38"/>
  <c r="AD9" i="38"/>
  <c r="AH9" i="38"/>
  <c r="AX9" i="38"/>
  <c r="AP9" i="38"/>
  <c r="AO9" i="38"/>
  <c r="BA9" i="38"/>
  <c r="AZ9" i="38"/>
  <c r="G38" i="32"/>
  <c r="G37" i="32"/>
  <c r="G63" i="43"/>
  <c r="K63" i="43"/>
  <c r="S63" i="43"/>
  <c r="L63" i="43"/>
  <c r="T63" i="43"/>
  <c r="I63" i="43"/>
  <c r="M63" i="43"/>
  <c r="C43" i="40" s="1"/>
  <c r="H63" i="43"/>
  <c r="J63" i="43"/>
  <c r="N63" i="43"/>
  <c r="E63" i="43"/>
  <c r="S59" i="43"/>
  <c r="T59" i="43"/>
  <c r="E59" i="43"/>
  <c r="I59" i="43" s="1"/>
  <c r="S55" i="43"/>
  <c r="T55" i="43"/>
  <c r="E55" i="43"/>
  <c r="I55" i="43" s="1"/>
  <c r="T51" i="43"/>
  <c r="S51" i="43"/>
  <c r="E51" i="43"/>
  <c r="I51" i="43" s="1"/>
  <c r="S47" i="43"/>
  <c r="T47" i="43"/>
  <c r="E47" i="43"/>
  <c r="I47" i="43" s="1"/>
  <c r="T43" i="43"/>
  <c r="E43" i="43"/>
  <c r="I43" i="43" s="1"/>
  <c r="S43" i="43"/>
  <c r="E39" i="43"/>
  <c r="I39" i="43" s="1"/>
  <c r="S39" i="43"/>
  <c r="T39" i="43"/>
  <c r="S35" i="43"/>
  <c r="T35" i="43"/>
  <c r="E35" i="43"/>
  <c r="I35" i="43" s="1"/>
  <c r="E31" i="43"/>
  <c r="I31" i="43" s="1"/>
  <c r="T31" i="43"/>
  <c r="S31" i="43"/>
  <c r="AA36" i="38"/>
  <c r="AE36" i="38"/>
  <c r="AB36" i="38"/>
  <c r="AF36" i="38"/>
  <c r="AC36" i="38"/>
  <c r="AG36" i="38"/>
  <c r="AX36" i="38"/>
  <c r="AP36" i="38"/>
  <c r="AD36" i="38"/>
  <c r="AH36" i="38"/>
  <c r="AO36" i="38"/>
  <c r="BA36" i="38"/>
  <c r="AZ36" i="38"/>
  <c r="AA32" i="38"/>
  <c r="AE32" i="38"/>
  <c r="AB32" i="38"/>
  <c r="AF32" i="38"/>
  <c r="AC32" i="38"/>
  <c r="AG32" i="38"/>
  <c r="AZ32" i="38"/>
  <c r="AD32" i="38"/>
  <c r="AH32" i="38"/>
  <c r="AP32" i="38"/>
  <c r="BA32" i="38"/>
  <c r="AO32" i="38"/>
  <c r="AA28" i="38"/>
  <c r="AE28" i="38"/>
  <c r="AB28" i="38"/>
  <c r="AF28" i="38"/>
  <c r="AC28" i="38"/>
  <c r="AG28" i="38"/>
  <c r="AD28" i="38"/>
  <c r="AH28" i="38"/>
  <c r="AO28" i="38"/>
  <c r="BA28" i="38"/>
  <c r="AP28" i="38"/>
  <c r="AZ28" i="38"/>
  <c r="AA24" i="38"/>
  <c r="AE24" i="38"/>
  <c r="AB24" i="38"/>
  <c r="AF24" i="38"/>
  <c r="AC24" i="38"/>
  <c r="AG24" i="38"/>
  <c r="AD24" i="38"/>
  <c r="AH24" i="38"/>
  <c r="AP24" i="38"/>
  <c r="AZ24" i="38"/>
  <c r="AO24" i="38"/>
  <c r="BA24" i="38"/>
  <c r="AA20" i="38"/>
  <c r="AE20" i="38"/>
  <c r="AB20" i="38"/>
  <c r="AF20" i="38"/>
  <c r="AC20" i="38"/>
  <c r="AG20" i="38"/>
  <c r="AD20" i="38"/>
  <c r="AH20" i="38"/>
  <c r="BA20" i="38"/>
  <c r="AZ20" i="38"/>
  <c r="AO20" i="38"/>
  <c r="AX20" i="38"/>
  <c r="AP20" i="38"/>
  <c r="AA16" i="38"/>
  <c r="AE16" i="38"/>
  <c r="AB16" i="38"/>
  <c r="AF16" i="38"/>
  <c r="AC16" i="38"/>
  <c r="AG16" i="38"/>
  <c r="AD16" i="38"/>
  <c r="AH16" i="38"/>
  <c r="BA16" i="38"/>
  <c r="AO16" i="38"/>
  <c r="AZ16" i="38"/>
  <c r="AP16" i="38"/>
  <c r="AA12" i="38"/>
  <c r="AE12" i="38"/>
  <c r="AB12" i="38"/>
  <c r="AF12" i="38"/>
  <c r="AC12" i="38"/>
  <c r="AG12" i="38"/>
  <c r="AD12" i="38"/>
  <c r="AH12" i="38"/>
  <c r="AO12" i="38"/>
  <c r="BA12" i="38"/>
  <c r="AZ12" i="38"/>
  <c r="AP12" i="38"/>
  <c r="AA8" i="38"/>
  <c r="AE8" i="38"/>
  <c r="AB8" i="38"/>
  <c r="AF8" i="38"/>
  <c r="AC8" i="38"/>
  <c r="AG8" i="38"/>
  <c r="AD8" i="38"/>
  <c r="AH8" i="38"/>
  <c r="AP8" i="38"/>
  <c r="AZ8" i="38"/>
  <c r="AO8" i="38"/>
  <c r="BA8" i="38"/>
  <c r="AA17" i="38"/>
  <c r="AE17" i="38"/>
  <c r="BA17" i="38"/>
  <c r="AO17" i="38"/>
  <c r="AB17" i="38"/>
  <c r="AF17" i="38"/>
  <c r="AZ17" i="38"/>
  <c r="AX17" i="38"/>
  <c r="AD17" i="38"/>
  <c r="AC17" i="38"/>
  <c r="AG17" i="38"/>
  <c r="AH17" i="38"/>
  <c r="AP17" i="38"/>
  <c r="S42" i="43"/>
  <c r="T42" i="43"/>
  <c r="E42" i="43"/>
  <c r="I42" i="43" s="1"/>
  <c r="HF23" i="37"/>
  <c r="S45" i="43"/>
  <c r="T45" i="43"/>
  <c r="E45" i="43"/>
  <c r="G25" i="20"/>
  <c r="X38" i="38"/>
  <c r="W32" i="38"/>
  <c r="AW32" i="38" s="1"/>
  <c r="AX32" i="38" s="1"/>
  <c r="W8" i="38"/>
  <c r="W36" i="38"/>
  <c r="W20" i="38"/>
  <c r="L41" i="8"/>
  <c r="G38" i="20"/>
  <c r="E11" i="31"/>
  <c r="L28" i="8"/>
  <c r="L37" i="8"/>
  <c r="K28" i="8"/>
  <c r="K9" i="14"/>
  <c r="J9" i="14" s="1"/>
  <c r="A6" i="33"/>
  <c r="A10" i="37" s="1"/>
  <c r="A7" i="30"/>
  <c r="A8" i="29"/>
  <c r="A10" i="13"/>
  <c r="L29" i="8"/>
  <c r="L11" i="8"/>
  <c r="L24" i="8"/>
  <c r="K25" i="8"/>
  <c r="K36" i="8"/>
  <c r="G23" i="20"/>
  <c r="AZ6" i="38"/>
  <c r="BA6" i="38"/>
  <c r="W35" i="38"/>
  <c r="W31" i="38"/>
  <c r="AW31" i="38" s="1"/>
  <c r="AX31" i="38" s="1"/>
  <c r="W27" i="38"/>
  <c r="W23" i="38"/>
  <c r="AW23" i="38" s="1"/>
  <c r="AX23" i="38" s="1"/>
  <c r="W19" i="38"/>
  <c r="W15" i="38"/>
  <c r="AX15" i="38" s="1"/>
  <c r="W11" i="38"/>
  <c r="AW11" i="38" s="1"/>
  <c r="AX11" i="38" s="1"/>
  <c r="W7" i="38"/>
  <c r="Q42" i="42"/>
  <c r="W28" i="38"/>
  <c r="AW28" i="38" s="1"/>
  <c r="AX28" i="38" s="1"/>
  <c r="W12" i="38"/>
  <c r="AW12" i="38" s="1"/>
  <c r="A15" i="8"/>
  <c r="A10" i="38" s="1"/>
  <c r="A10" i="14"/>
  <c r="A9" i="28"/>
  <c r="A13" i="13"/>
  <c r="HE9" i="37"/>
  <c r="E8" i="32"/>
  <c r="A9" i="36"/>
  <c r="A14" i="42" s="1"/>
  <c r="B34" i="43" s="1"/>
  <c r="G21" i="20"/>
  <c r="E7" i="31"/>
  <c r="A13" i="20"/>
  <c r="A13" i="12"/>
  <c r="L27" i="8"/>
  <c r="L43" i="8"/>
  <c r="G18" i="20"/>
  <c r="AB43" i="37"/>
  <c r="A9" i="3"/>
  <c r="A8" i="25"/>
  <c r="A8" i="28"/>
  <c r="K35" i="30"/>
  <c r="J35" i="30" s="1"/>
  <c r="G30" i="20"/>
  <c r="G20" i="20"/>
  <c r="G14" i="20"/>
  <c r="L30" i="8"/>
  <c r="M30" i="8" s="1"/>
  <c r="K35" i="8"/>
  <c r="K24" i="8"/>
  <c r="A7" i="25"/>
  <c r="A8" i="19"/>
  <c r="A7" i="3"/>
  <c r="A7" i="32"/>
  <c r="L16" i="8"/>
  <c r="M16" i="8" s="1"/>
  <c r="L33" i="8"/>
  <c r="K38" i="8"/>
  <c r="K18" i="8"/>
  <c r="K12" i="8"/>
  <c r="W38" i="38"/>
  <c r="W30" i="38"/>
  <c r="AW30" i="38" s="1"/>
  <c r="AX30" i="38" s="1"/>
  <c r="W26" i="38"/>
  <c r="AW26" i="38" s="1"/>
  <c r="AX26" i="38" s="1"/>
  <c r="W18" i="38"/>
  <c r="AX18" i="38" s="1"/>
  <c r="W14" i="38"/>
  <c r="AX14" i="38" s="1"/>
  <c r="W10" i="38"/>
  <c r="Q26" i="42"/>
  <c r="W24" i="38"/>
  <c r="AW24" i="38" s="1"/>
  <c r="AX24" i="38" s="1"/>
  <c r="W16" i="38"/>
  <c r="A8" i="36"/>
  <c r="A13" i="42" s="1"/>
  <c r="B33" i="43" s="1"/>
  <c r="A9" i="25"/>
  <c r="A11" i="12"/>
  <c r="L15" i="8"/>
  <c r="A8" i="33"/>
  <c r="A12" i="37" s="1"/>
  <c r="A10" i="12"/>
  <c r="A10" i="28"/>
  <c r="A7" i="33"/>
  <c r="A11" i="37" s="1"/>
  <c r="A10" i="19"/>
  <c r="A11" i="13"/>
  <c r="A8" i="3"/>
  <c r="A10" i="36"/>
  <c r="A15" i="42" s="1"/>
  <c r="B35" i="43" s="1"/>
  <c r="A10" i="30"/>
  <c r="A12" i="12"/>
  <c r="A9" i="31"/>
  <c r="L20" i="8"/>
  <c r="G12" i="20"/>
  <c r="G27" i="20"/>
  <c r="L17" i="8"/>
  <c r="A12" i="13"/>
  <c r="A9" i="32"/>
  <c r="A9" i="19"/>
  <c r="G17" i="20"/>
  <c r="G37" i="20"/>
  <c r="L34" i="8"/>
  <c r="K33" i="8"/>
  <c r="K13" i="8"/>
  <c r="M13" i="8" s="1"/>
  <c r="A7" i="29"/>
  <c r="A6" i="25"/>
  <c r="A7" i="28"/>
  <c r="A12" i="20"/>
  <c r="L18" i="8"/>
  <c r="L35" i="8"/>
  <c r="L12" i="8"/>
  <c r="K19" i="30"/>
  <c r="J19" i="30" s="1"/>
  <c r="K34" i="8"/>
  <c r="G42" i="20"/>
  <c r="Q43" i="42"/>
  <c r="A7" i="36"/>
  <c r="A12" i="42" s="1"/>
  <c r="B32" i="43" s="1"/>
  <c r="W33" i="38"/>
  <c r="AW33" i="38" s="1"/>
  <c r="AX33" i="38" s="1"/>
  <c r="W29" i="38"/>
  <c r="AW29" i="38" s="1"/>
  <c r="AX29" i="38" s="1"/>
  <c r="W25" i="38"/>
  <c r="W21" i="38"/>
  <c r="W17" i="38"/>
  <c r="W13" i="38"/>
  <c r="W9" i="38"/>
  <c r="P13" i="1"/>
  <c r="P3" i="1" s="1"/>
  <c r="M3" i="1"/>
  <c r="W34" i="38"/>
  <c r="AW34" i="38" s="1"/>
  <c r="AX34" i="38" s="1"/>
  <c r="J34" i="3"/>
  <c r="E34" i="32"/>
  <c r="M34" i="20"/>
  <c r="L34" i="20" s="1"/>
  <c r="N34" i="20" s="1"/>
  <c r="G34" i="20"/>
  <c r="E33" i="29"/>
  <c r="K33" i="29"/>
  <c r="J33" i="29" s="1"/>
  <c r="E21" i="29"/>
  <c r="K21" i="29"/>
  <c r="J21" i="29" s="1"/>
  <c r="E9" i="29"/>
  <c r="K9" i="29"/>
  <c r="J9" i="29" s="1"/>
  <c r="E27" i="30"/>
  <c r="K27" i="30"/>
  <c r="J27" i="30" s="1"/>
  <c r="E33" i="14"/>
  <c r="K33" i="14"/>
  <c r="J33" i="14" s="1"/>
  <c r="M15" i="20"/>
  <c r="L15" i="20" s="1"/>
  <c r="N15" i="20" s="1"/>
  <c r="G15" i="20"/>
  <c r="E13" i="28"/>
  <c r="J13" i="28"/>
  <c r="E13" i="29"/>
  <c r="K13" i="29"/>
  <c r="J13" i="29" s="1"/>
  <c r="E31" i="30"/>
  <c r="K31" i="30"/>
  <c r="J31" i="30" s="1"/>
  <c r="K23" i="30"/>
  <c r="J23" i="30" s="1"/>
  <c r="E23" i="30"/>
  <c r="E27" i="31"/>
  <c r="K27" i="31"/>
  <c r="J27" i="31" s="1"/>
  <c r="E19" i="31"/>
  <c r="K19" i="31"/>
  <c r="J19" i="31" s="1"/>
  <c r="K17" i="29"/>
  <c r="J17" i="29" s="1"/>
  <c r="M25" i="8"/>
  <c r="HE25" i="37"/>
  <c r="M28" i="20"/>
  <c r="L28" i="20" s="1"/>
  <c r="N28" i="20" s="1"/>
  <c r="E31" i="31"/>
  <c r="M24" i="20"/>
  <c r="L24" i="20" s="1"/>
  <c r="N24" i="20" s="1"/>
  <c r="G24" i="20"/>
  <c r="E37" i="28"/>
  <c r="J37" i="28"/>
  <c r="E29" i="29"/>
  <c r="K29" i="29"/>
  <c r="J29" i="29" s="1"/>
  <c r="E11" i="30"/>
  <c r="K11" i="30"/>
  <c r="J11" i="30" s="1"/>
  <c r="E15" i="31"/>
  <c r="K15" i="31"/>
  <c r="J15" i="31" s="1"/>
  <c r="E37" i="14"/>
  <c r="K37" i="14"/>
  <c r="J37" i="14" s="1"/>
  <c r="E29" i="14"/>
  <c r="E15" i="30"/>
  <c r="HG25" i="37"/>
  <c r="E25" i="14"/>
  <c r="G33" i="20"/>
  <c r="M19" i="20"/>
  <c r="L19" i="20" s="1"/>
  <c r="N19" i="20" s="1"/>
  <c r="L20" i="32"/>
  <c r="K20" i="32" s="1"/>
  <c r="E23" i="31"/>
  <c r="G41" i="20"/>
  <c r="K13" i="14"/>
  <c r="J13" i="14" s="1"/>
  <c r="K7" i="30"/>
  <c r="J7" i="30" s="1"/>
  <c r="M11" i="20"/>
  <c r="L11" i="20" s="1"/>
  <c r="N11" i="20" s="1"/>
  <c r="G11" i="20"/>
  <c r="F37" i="29"/>
  <c r="E37" i="29"/>
  <c r="K37" i="29"/>
  <c r="J37" i="29" s="1"/>
  <c r="E25" i="29"/>
  <c r="K25" i="29"/>
  <c r="J25" i="29" s="1"/>
  <c r="E6" i="31"/>
  <c r="K6" i="31"/>
  <c r="J6" i="31" s="1"/>
  <c r="E35" i="31"/>
  <c r="K35" i="31"/>
  <c r="J35" i="31" s="1"/>
  <c r="L36" i="32"/>
  <c r="K36" i="32" s="1"/>
  <c r="E36" i="32"/>
  <c r="L32" i="32"/>
  <c r="K32" i="32" s="1"/>
  <c r="E32" i="32"/>
  <c r="E28" i="32"/>
  <c r="L28" i="32"/>
  <c r="K28" i="32" s="1"/>
  <c r="E24" i="32"/>
  <c r="L24" i="32"/>
  <c r="K24" i="32" s="1"/>
  <c r="E16" i="32"/>
  <c r="L16" i="32"/>
  <c r="K16" i="32" s="1"/>
  <c r="L12" i="32"/>
  <c r="K12" i="32" s="1"/>
  <c r="E12" i="32"/>
  <c r="K17" i="14"/>
  <c r="J17" i="14" s="1"/>
  <c r="E17" i="14"/>
  <c r="HE41" i="37"/>
  <c r="HG41" i="37"/>
  <c r="HE37" i="37"/>
  <c r="HF37" i="37"/>
  <c r="HG21" i="37"/>
  <c r="HF21" i="37"/>
  <c r="HF13" i="37"/>
  <c r="HE13" i="37"/>
  <c r="M43" i="20"/>
  <c r="L43" i="20" s="1"/>
  <c r="N43" i="20" s="1"/>
  <c r="G43" i="20"/>
  <c r="M39" i="20"/>
  <c r="L39" i="20" s="1"/>
  <c r="N39" i="20" s="1"/>
  <c r="G39" i="20"/>
  <c r="M36" i="20"/>
  <c r="L36" i="20" s="1"/>
  <c r="N36" i="20" s="1"/>
  <c r="G36" i="20"/>
  <c r="M28" i="8"/>
  <c r="K10" i="30"/>
  <c r="J10" i="30" s="1"/>
  <c r="HF32" i="37"/>
  <c r="M12" i="8"/>
  <c r="HG36" i="37"/>
  <c r="HF28" i="37"/>
  <c r="K16" i="29"/>
  <c r="J16" i="29" s="1"/>
  <c r="J20" i="28"/>
  <c r="K8" i="14"/>
  <c r="J8" i="14" s="1"/>
  <c r="K18" i="31"/>
  <c r="J18" i="31" s="1"/>
  <c r="K8" i="29"/>
  <c r="J8" i="29" s="1"/>
  <c r="K20" i="14"/>
  <c r="J20" i="14" s="1"/>
  <c r="K26" i="30"/>
  <c r="J26" i="30" s="1"/>
  <c r="HE36" i="37"/>
  <c r="F38" i="31"/>
  <c r="G38" i="31" s="1"/>
  <c r="M36" i="8"/>
  <c r="K12" i="14"/>
  <c r="J12" i="14" s="1"/>
  <c r="K38" i="30"/>
  <c r="J38" i="30" s="1"/>
  <c r="K14" i="31"/>
  <c r="J14" i="31" s="1"/>
  <c r="C37" i="33"/>
  <c r="E37" i="33" s="1"/>
  <c r="D41" i="37" s="1"/>
  <c r="C36" i="33"/>
  <c r="E36" i="33" s="1"/>
  <c r="D40" i="37" s="1"/>
  <c r="G42" i="8"/>
  <c r="B37" i="38"/>
  <c r="AW37" i="38" s="1"/>
  <c r="AL13" i="1" a="1"/>
  <c r="AC13" i="1" a="1"/>
  <c r="Z45" i="1"/>
  <c r="Y45" i="1"/>
  <c r="Z29" i="1"/>
  <c r="Y29" i="1"/>
  <c r="AX6" i="38"/>
  <c r="AP6" i="38"/>
  <c r="AO6" i="38"/>
  <c r="M11" i="8"/>
  <c r="M38" i="8"/>
  <c r="M34" i="8"/>
  <c r="M18" i="8"/>
  <c r="K19" i="8"/>
  <c r="L21" i="8"/>
  <c r="K17" i="8"/>
  <c r="M17" i="8" s="1"/>
  <c r="L22" i="8"/>
  <c r="L32" i="8"/>
  <c r="K41" i="8"/>
  <c r="M41" i="8" s="1"/>
  <c r="K23" i="8"/>
  <c r="L39" i="8"/>
  <c r="M39" i="8" s="1"/>
  <c r="K14" i="8"/>
  <c r="L14" i="8"/>
  <c r="K15" i="8"/>
  <c r="K32" i="8"/>
  <c r="K26" i="8"/>
  <c r="L40" i="8"/>
  <c r="M40" i="8" s="1"/>
  <c r="K27" i="8"/>
  <c r="M27" i="8" s="1"/>
  <c r="L31" i="8"/>
  <c r="K20" i="8"/>
  <c r="M20" i="8" s="1"/>
  <c r="L23" i="8"/>
  <c r="K21" i="8"/>
  <c r="K31" i="8"/>
  <c r="M31" i="8" s="1"/>
  <c r="K22" i="8"/>
  <c r="L19" i="8"/>
  <c r="K42" i="8"/>
  <c r="K43" i="8"/>
  <c r="H43" i="8" s="1"/>
  <c r="L26" i="8"/>
  <c r="M26" i="8" s="1"/>
  <c r="L42" i="8"/>
  <c r="M29" i="8"/>
  <c r="M15" i="8"/>
  <c r="G32" i="20"/>
  <c r="M37" i="8"/>
  <c r="M24" i="8"/>
  <c r="F38" i="25"/>
  <c r="C38" i="36"/>
  <c r="J38" i="36"/>
  <c r="H38" i="36"/>
  <c r="F38" i="36"/>
  <c r="F34" i="36"/>
  <c r="H34" i="36" s="1"/>
  <c r="F30" i="36"/>
  <c r="H30" i="36" s="1"/>
  <c r="F26" i="36"/>
  <c r="H26" i="36" s="1"/>
  <c r="F22" i="36"/>
  <c r="H22" i="36" s="1"/>
  <c r="F18" i="36"/>
  <c r="H18" i="36" s="1"/>
  <c r="F14" i="36"/>
  <c r="H14" i="36" s="1"/>
  <c r="F10" i="36"/>
  <c r="C37" i="36"/>
  <c r="J37" i="36"/>
  <c r="H37" i="36"/>
  <c r="F37" i="36"/>
  <c r="F33" i="36"/>
  <c r="H33" i="36" s="1"/>
  <c r="F29" i="36"/>
  <c r="F25" i="36"/>
  <c r="H25" i="36" s="1"/>
  <c r="J21" i="36"/>
  <c r="H21" i="36"/>
  <c r="F21" i="36"/>
  <c r="H17" i="36"/>
  <c r="F17" i="36"/>
  <c r="F13" i="36"/>
  <c r="F9" i="36"/>
  <c r="H9" i="36" s="1"/>
  <c r="F6" i="36"/>
  <c r="H6" i="36" s="1"/>
  <c r="F36" i="36"/>
  <c r="H36" i="36" s="1"/>
  <c r="F32" i="36"/>
  <c r="H32" i="36" s="1"/>
  <c r="F28" i="36"/>
  <c r="H28" i="36" s="1"/>
  <c r="F24" i="36"/>
  <c r="H24" i="36" s="1"/>
  <c r="F20" i="36"/>
  <c r="H20" i="36" s="1"/>
  <c r="F16" i="36"/>
  <c r="H16" i="36" s="1"/>
  <c r="F12" i="36"/>
  <c r="F8" i="36"/>
  <c r="H8" i="36" s="1"/>
  <c r="F35" i="36"/>
  <c r="H35" i="36" s="1"/>
  <c r="F31" i="36"/>
  <c r="H31" i="36" s="1"/>
  <c r="F27" i="36"/>
  <c r="H27" i="36" s="1"/>
  <c r="F23" i="36"/>
  <c r="H23" i="36" s="1"/>
  <c r="F19" i="36"/>
  <c r="H19" i="36" s="1"/>
  <c r="F15" i="36"/>
  <c r="H15" i="36" s="1"/>
  <c r="F11" i="36"/>
  <c r="F7" i="36"/>
  <c r="H7" i="36" s="1"/>
  <c r="F21" i="31"/>
  <c r="G21" i="31" s="1"/>
  <c r="E40" i="12"/>
  <c r="HF38" i="37"/>
  <c r="HG38" i="37"/>
  <c r="HE38" i="37"/>
  <c r="HG20" i="37"/>
  <c r="HE20" i="37"/>
  <c r="HF20" i="37"/>
  <c r="HF35" i="37"/>
  <c r="HG35" i="37"/>
  <c r="HE35" i="37"/>
  <c r="HG19" i="37"/>
  <c r="HF19" i="37"/>
  <c r="HE19" i="37"/>
  <c r="H42" i="20"/>
  <c r="J26" i="28"/>
  <c r="E26" i="28"/>
  <c r="HG26" i="37"/>
  <c r="HE26" i="37"/>
  <c r="HF26" i="37"/>
  <c r="HF29" i="37"/>
  <c r="HG29" i="37"/>
  <c r="HE29" i="37"/>
  <c r="C5" i="3"/>
  <c r="C5" i="28" s="1"/>
  <c r="F21" i="29"/>
  <c r="G21" i="29" s="1"/>
  <c r="HG31" i="37"/>
  <c r="HE31" i="37"/>
  <c r="HF31" i="37"/>
  <c r="HE17" i="37"/>
  <c r="HF17" i="37"/>
  <c r="HG17" i="37"/>
  <c r="J32" i="29"/>
  <c r="HE40" i="37"/>
  <c r="HF40" i="37"/>
  <c r="HG40" i="37"/>
  <c r="HG24" i="37"/>
  <c r="HF24" i="37"/>
  <c r="HE24" i="37"/>
  <c r="HG14" i="37"/>
  <c r="HE14" i="37"/>
  <c r="HF14" i="37"/>
  <c r="D14" i="12"/>
  <c r="D19" i="12"/>
  <c r="D21" i="12"/>
  <c r="D23" i="12"/>
  <c r="D25" i="12"/>
  <c r="D27" i="12"/>
  <c r="D29" i="12"/>
  <c r="D31" i="12"/>
  <c r="D33" i="12"/>
  <c r="D35" i="12"/>
  <c r="D37" i="12"/>
  <c r="D39" i="12"/>
  <c r="D20" i="12"/>
  <c r="D22" i="12"/>
  <c r="D24" i="12"/>
  <c r="D26" i="12"/>
  <c r="D28" i="12"/>
  <c r="D30" i="12"/>
  <c r="D32" i="12"/>
  <c r="D34" i="12"/>
  <c r="D36" i="12"/>
  <c r="D38" i="12"/>
  <c r="J6" i="28"/>
  <c r="J12" i="28"/>
  <c r="J24" i="28"/>
  <c r="E15" i="28"/>
  <c r="J34" i="28"/>
  <c r="J33" i="28"/>
  <c r="E33" i="28"/>
  <c r="J15" i="28"/>
  <c r="E6" i="28"/>
  <c r="E24" i="28"/>
  <c r="J29" i="28"/>
  <c r="J35" i="28"/>
  <c r="J28" i="28"/>
  <c r="J23" i="28"/>
  <c r="J36" i="28"/>
  <c r="E36" i="28"/>
  <c r="J22" i="3"/>
  <c r="J26" i="3"/>
  <c r="E12" i="3"/>
  <c r="E28" i="3"/>
  <c r="E23" i="3"/>
  <c r="J18" i="3"/>
  <c r="J15" i="3"/>
  <c r="J23" i="3"/>
  <c r="C22" i="19"/>
  <c r="C20" i="33" s="1"/>
  <c r="F21" i="30"/>
  <c r="G21" i="30" s="1"/>
  <c r="J22" i="31"/>
  <c r="HF22" i="37"/>
  <c r="HE22" i="37"/>
  <c r="HG22" i="37"/>
  <c r="HG12" i="37"/>
  <c r="HF12" i="37"/>
  <c r="HE12" i="37"/>
  <c r="HF10" i="37"/>
  <c r="HG10" i="37"/>
  <c r="HE10" i="37"/>
  <c r="K9" i="32"/>
  <c r="HG33" i="37"/>
  <c r="HF33" i="37"/>
  <c r="HE33" i="37"/>
  <c r="J34" i="31"/>
  <c r="J12" i="29"/>
  <c r="C24" i="12"/>
  <c r="G26" i="8"/>
  <c r="F21" i="32"/>
  <c r="G21" i="32" s="1"/>
  <c r="C21" i="36"/>
  <c r="F21" i="14"/>
  <c r="G21" i="14" s="1"/>
  <c r="F21" i="3"/>
  <c r="F21" i="28"/>
  <c r="A9" i="33"/>
  <c r="A13" i="37" s="1"/>
  <c r="A10" i="32"/>
  <c r="I13" i="1"/>
  <c r="A10" i="31"/>
  <c r="A10" i="3"/>
  <c r="A15" i="20"/>
  <c r="A9" i="14"/>
  <c r="E41" i="12"/>
  <c r="AW7" i="38" l="1"/>
  <c r="AX7" i="38" s="1"/>
  <c r="AX12" i="38"/>
  <c r="AW8" i="38"/>
  <c r="AX8" i="38" s="1"/>
  <c r="AW10" i="38"/>
  <c r="AX10" i="38" s="1"/>
  <c r="AW16" i="38"/>
  <c r="AX16" i="38" s="1"/>
  <c r="AW13" i="38"/>
  <c r="AX13" i="38" s="1"/>
  <c r="G37" i="29"/>
  <c r="AI35" i="38" a="1"/>
  <c r="AI35" i="38" s="1"/>
  <c r="AI12" i="38" a="1"/>
  <c r="AI12" i="38" s="1"/>
  <c r="AI28" i="38" a="1"/>
  <c r="AI28" i="38" s="1"/>
  <c r="AI33" i="38" a="1"/>
  <c r="AI33" i="38" s="1"/>
  <c r="G38" i="30"/>
  <c r="AI14" i="38" a="1"/>
  <c r="AI14" i="38" s="1"/>
  <c r="AI22" i="38" a="1"/>
  <c r="AI22" i="38" s="1"/>
  <c r="AI30" i="38" a="1"/>
  <c r="AI30" i="38" s="1"/>
  <c r="AI38" i="38" a="1"/>
  <c r="AI38" i="38" s="1"/>
  <c r="Y38" i="38" s="1" a="1"/>
  <c r="Y38" i="38" s="1"/>
  <c r="AI7" i="38" a="1"/>
  <c r="AI7" i="38" s="1"/>
  <c r="AI23" i="38" a="1"/>
  <c r="AI23" i="38" s="1"/>
  <c r="AI31" i="38" a="1"/>
  <c r="AI31" i="38" s="1"/>
  <c r="AA37" i="38"/>
  <c r="AE37" i="38"/>
  <c r="AB37" i="38"/>
  <c r="AF37" i="38"/>
  <c r="AC37" i="38"/>
  <c r="AG37" i="38"/>
  <c r="AP37" i="38"/>
  <c r="AD37" i="38"/>
  <c r="AH37" i="38"/>
  <c r="BA37" i="38"/>
  <c r="AO37" i="38"/>
  <c r="AZ37" i="38"/>
  <c r="AX37" i="38"/>
  <c r="AI16" i="38" a="1"/>
  <c r="AI16" i="38" s="1"/>
  <c r="AI32" i="38" a="1"/>
  <c r="AI32" i="38" s="1"/>
  <c r="AI21" i="38" a="1"/>
  <c r="AI21" i="38" s="1"/>
  <c r="AI11" i="38" a="1"/>
  <c r="AI11" i="38" s="1"/>
  <c r="AI27" i="38" a="1"/>
  <c r="AI27" i="38" s="1"/>
  <c r="I3" i="1"/>
  <c r="L13" i="1"/>
  <c r="AI20" i="38" a="1"/>
  <c r="AI20" i="38" s="1"/>
  <c r="AI36" i="38" a="1"/>
  <c r="AI36" i="38" s="1"/>
  <c r="AI9" i="38" a="1"/>
  <c r="AI9" i="38" s="1"/>
  <c r="AI25" i="38" a="1"/>
  <c r="AI25" i="38" s="1"/>
  <c r="AI10" i="38" a="1"/>
  <c r="AI10" i="38" s="1"/>
  <c r="AI18" i="38" a="1"/>
  <c r="AI18" i="38" s="1"/>
  <c r="AI26" i="38" a="1"/>
  <c r="AI26" i="38" s="1"/>
  <c r="AI34" i="38" a="1"/>
  <c r="AI34" i="38" s="1"/>
  <c r="AI15" i="38" a="1"/>
  <c r="AI15" i="38" s="1"/>
  <c r="AI8" i="38" a="1"/>
  <c r="AI8" i="38" s="1"/>
  <c r="AI24" i="38" a="1"/>
  <c r="AI24" i="38" s="1"/>
  <c r="AI13" i="38" a="1"/>
  <c r="AI13" i="38" s="1"/>
  <c r="AI29" i="38" a="1"/>
  <c r="AI29" i="38" s="1"/>
  <c r="AI19" i="38" a="1"/>
  <c r="AI19" i="38" s="1"/>
  <c r="AI17" i="38" a="1"/>
  <c r="AI17" i="38" s="1"/>
  <c r="I45" i="43"/>
  <c r="I64" i="43" s="1"/>
  <c r="K3" i="43" s="1"/>
  <c r="E64" i="43"/>
  <c r="Q2" i="43"/>
  <c r="Q3" i="43" s="1"/>
  <c r="M32" i="8"/>
  <c r="X37" i="38"/>
  <c r="H42" i="8"/>
  <c r="I42" i="8" s="1"/>
  <c r="F38" i="19" s="1"/>
  <c r="M33" i="8"/>
  <c r="X21" i="38"/>
  <c r="H26" i="8"/>
  <c r="W37" i="38"/>
  <c r="AH43" i="37"/>
  <c r="AB8" i="37"/>
  <c r="M22" i="8"/>
  <c r="D44" i="42"/>
  <c r="M35" i="8"/>
  <c r="N13" i="1"/>
  <c r="N3" i="1" s="1"/>
  <c r="K3" i="1"/>
  <c r="G44" i="20"/>
  <c r="AA29" i="1"/>
  <c r="AA45" i="1"/>
  <c r="E43" i="20"/>
  <c r="H43" i="20" s="1"/>
  <c r="Y21" i="38" a="1"/>
  <c r="Y21" i="38" s="1"/>
  <c r="F42" i="40"/>
  <c r="G42" i="40" s="1"/>
  <c r="H42" i="40" s="1"/>
  <c r="AI6" i="38" a="1"/>
  <c r="AI6" i="38" s="1"/>
  <c r="AG13" i="1"/>
  <c r="AH13" i="1"/>
  <c r="AC13" i="1"/>
  <c r="AD13" i="1"/>
  <c r="AF13" i="1"/>
  <c r="AE13" i="1"/>
  <c r="AI13" i="1"/>
  <c r="AO13" i="1"/>
  <c r="AP13" i="1"/>
  <c r="AR13" i="1"/>
  <c r="AM13" i="1"/>
  <c r="AQ13" i="1"/>
  <c r="AL13" i="1"/>
  <c r="AN13" i="1"/>
  <c r="Y17" i="38" a="1"/>
  <c r="Y17" i="38" s="1"/>
  <c r="M42" i="8"/>
  <c r="M14" i="8"/>
  <c r="M21" i="8"/>
  <c r="I43" i="8"/>
  <c r="F39" i="19" s="1"/>
  <c r="M43" i="8"/>
  <c r="M19" i="8"/>
  <c r="M23" i="8"/>
  <c r="E24" i="12"/>
  <c r="E29" i="28"/>
  <c r="E28" i="28"/>
  <c r="E22" i="3"/>
  <c r="E35" i="28"/>
  <c r="E23" i="28"/>
  <c r="J12" i="3"/>
  <c r="E26" i="3"/>
  <c r="E18" i="3"/>
  <c r="J28" i="3"/>
  <c r="E16" i="28"/>
  <c r="J16" i="28"/>
  <c r="E27" i="28"/>
  <c r="J27" i="28"/>
  <c r="E19" i="28"/>
  <c r="J19" i="28"/>
  <c r="E17" i="28"/>
  <c r="J17" i="28"/>
  <c r="E21" i="28"/>
  <c r="G21" i="28" s="1"/>
  <c r="C24" i="13" s="1"/>
  <c r="J21" i="28"/>
  <c r="J9" i="28"/>
  <c r="E9" i="28"/>
  <c r="E8" i="28"/>
  <c r="J8" i="28"/>
  <c r="E15" i="3"/>
  <c r="J30" i="28"/>
  <c r="E30" i="28"/>
  <c r="E11" i="28"/>
  <c r="J11" i="28"/>
  <c r="J32" i="28"/>
  <c r="E32" i="28"/>
  <c r="E14" i="28"/>
  <c r="J14" i="28"/>
  <c r="C39" i="28"/>
  <c r="J7" i="28"/>
  <c r="E7" i="28"/>
  <c r="E22" i="28"/>
  <c r="J22" i="28"/>
  <c r="J25" i="28"/>
  <c r="E25" i="28"/>
  <c r="E31" i="3"/>
  <c r="J31" i="3"/>
  <c r="E30" i="3"/>
  <c r="J30" i="3"/>
  <c r="E25" i="3"/>
  <c r="J25" i="3"/>
  <c r="E11" i="3"/>
  <c r="J11" i="3"/>
  <c r="E17" i="3"/>
  <c r="J17" i="3"/>
  <c r="E29" i="3"/>
  <c r="J29" i="3"/>
  <c r="E14" i="3"/>
  <c r="J14" i="3"/>
  <c r="E20" i="3"/>
  <c r="J20" i="3"/>
  <c r="E32" i="3"/>
  <c r="J32" i="3"/>
  <c r="E33" i="3"/>
  <c r="J33" i="3"/>
  <c r="E24" i="3"/>
  <c r="J24" i="3"/>
  <c r="E16" i="3"/>
  <c r="J16" i="3"/>
  <c r="J27" i="3"/>
  <c r="E27" i="3"/>
  <c r="J8" i="3"/>
  <c r="E8" i="3"/>
  <c r="J35" i="3"/>
  <c r="E35" i="3"/>
  <c r="E21" i="3"/>
  <c r="G21" i="3" s="1"/>
  <c r="J21" i="3"/>
  <c r="J7" i="3"/>
  <c r="E7" i="3"/>
  <c r="E36" i="3"/>
  <c r="J36" i="3"/>
  <c r="J13" i="3"/>
  <c r="E13" i="3"/>
  <c r="E10" i="3"/>
  <c r="J10" i="3"/>
  <c r="J19" i="3"/>
  <c r="E19" i="3"/>
  <c r="J9" i="3"/>
  <c r="E9" i="3"/>
  <c r="A14" i="13"/>
  <c r="A11" i="36"/>
  <c r="A16" i="42" s="1"/>
  <c r="B36" i="43" s="1"/>
  <c r="A16" i="8"/>
  <c r="A11" i="38" s="1"/>
  <c r="A10" i="33"/>
  <c r="A14" i="37" s="1"/>
  <c r="A11" i="28"/>
  <c r="A14" i="12"/>
  <c r="A11" i="29"/>
  <c r="A11" i="14"/>
  <c r="A12" i="19"/>
  <c r="A11" i="32"/>
  <c r="A11" i="3"/>
  <c r="A11" i="30"/>
  <c r="A10" i="25"/>
  <c r="A16" i="20"/>
  <c r="A11" i="31"/>
  <c r="D5" i="31"/>
  <c r="D5" i="14"/>
  <c r="D5" i="32"/>
  <c r="D5" i="30"/>
  <c r="D5" i="3"/>
  <c r="D5" i="28" s="1"/>
  <c r="D5" i="29"/>
  <c r="AI37" i="38" l="1" a="1"/>
  <c r="AI37" i="38" s="1"/>
  <c r="AJ21" i="1"/>
  <c r="T21" i="1" s="1"/>
  <c r="W21" i="1" s="1"/>
  <c r="AJ18" i="1"/>
  <c r="T18" i="1" s="1"/>
  <c r="W18" i="1" s="1"/>
  <c r="AJ17" i="1"/>
  <c r="T17" i="1" s="1"/>
  <c r="W17" i="1" s="1"/>
  <c r="AJ19" i="1"/>
  <c r="T19" i="1" s="1"/>
  <c r="W19" i="1" s="1"/>
  <c r="AJ20" i="1"/>
  <c r="T20" i="1" s="1"/>
  <c r="W20" i="1" s="1"/>
  <c r="AH8" i="37"/>
  <c r="AN43" i="37"/>
  <c r="AK44" i="1"/>
  <c r="AK43" i="1"/>
  <c r="AK46" i="1"/>
  <c r="AK45" i="1"/>
  <c r="AK25" i="1"/>
  <c r="AK26" i="1"/>
  <c r="AJ38" i="1"/>
  <c r="AK28" i="1"/>
  <c r="AK21" i="1"/>
  <c r="AK18" i="1"/>
  <c r="AK16" i="1"/>
  <c r="AJ42" i="1"/>
  <c r="T42" i="1" s="1"/>
  <c r="W42" i="1" s="1"/>
  <c r="AJ34" i="1"/>
  <c r="AJ37" i="1"/>
  <c r="AK24" i="1"/>
  <c r="AK20" i="1"/>
  <c r="AJ40" i="1"/>
  <c r="AK19" i="1"/>
  <c r="AJ41" i="1"/>
  <c r="AK27" i="1"/>
  <c r="AJ36" i="1"/>
  <c r="AJ45" i="1"/>
  <c r="AJ39" i="1"/>
  <c r="AJ31" i="1"/>
  <c r="AK30" i="1"/>
  <c r="AJ26" i="1"/>
  <c r="T26" i="1" s="1"/>
  <c r="W26" i="1" s="1"/>
  <c r="AJ24" i="1"/>
  <c r="T24" i="1" s="1"/>
  <c r="W24" i="1" s="1"/>
  <c r="AK22" i="1"/>
  <c r="AK15" i="1"/>
  <c r="AK42" i="1"/>
  <c r="AK29" i="1"/>
  <c r="AJ28" i="1"/>
  <c r="T28" i="1" s="1"/>
  <c r="W28" i="1" s="1"/>
  <c r="AK23" i="1"/>
  <c r="AK17" i="1"/>
  <c r="AJ22" i="1"/>
  <c r="T22" i="1" s="1"/>
  <c r="W22" i="1" s="1"/>
  <c r="AJ30" i="1"/>
  <c r="T30" i="1" s="1"/>
  <c r="W30" i="1" s="1"/>
  <c r="AJ29" i="1"/>
  <c r="AJ33" i="1"/>
  <c r="AJ23" i="1"/>
  <c r="T23" i="1" s="1"/>
  <c r="W23" i="1" s="1"/>
  <c r="AJ35" i="1"/>
  <c r="AJ27" i="1"/>
  <c r="T27" i="1" s="1"/>
  <c r="W27" i="1" s="1"/>
  <c r="AJ46" i="1"/>
  <c r="AJ25" i="1"/>
  <c r="AJ32" i="1"/>
  <c r="AJ44" i="1"/>
  <c r="T44" i="1" s="1"/>
  <c r="W44" i="1" s="1"/>
  <c r="AJ43" i="1"/>
  <c r="T43" i="1" s="1"/>
  <c r="W43" i="1" s="1"/>
  <c r="AJ16" i="1"/>
  <c r="T16" i="1" s="1"/>
  <c r="W16" i="1" s="1"/>
  <c r="AJ15" i="1"/>
  <c r="T15" i="1" s="1"/>
  <c r="W15" i="1" s="1"/>
  <c r="AK39" i="1"/>
  <c r="T39" i="1" s="1"/>
  <c r="W39" i="1" s="1"/>
  <c r="AK37" i="1"/>
  <c r="T37" i="1" s="1"/>
  <c r="W37" i="1" s="1"/>
  <c r="AK35" i="1"/>
  <c r="T35" i="1" s="1"/>
  <c r="W35" i="1" s="1"/>
  <c r="AK41" i="1"/>
  <c r="T41" i="1" s="1"/>
  <c r="W41" i="1" s="1"/>
  <c r="AK40" i="1"/>
  <c r="T40" i="1" s="1"/>
  <c r="W40" i="1" s="1"/>
  <c r="AK38" i="1"/>
  <c r="T38" i="1" s="1"/>
  <c r="W38" i="1" s="1"/>
  <c r="AK33" i="1"/>
  <c r="T33" i="1" s="1"/>
  <c r="W33" i="1" s="1"/>
  <c r="AK36" i="1"/>
  <c r="T36" i="1" s="1"/>
  <c r="W36" i="1" s="1"/>
  <c r="AK34" i="1"/>
  <c r="T34" i="1" s="1"/>
  <c r="W34" i="1" s="1"/>
  <c r="AK31" i="1"/>
  <c r="T31" i="1" s="1"/>
  <c r="W31" i="1" s="1"/>
  <c r="AK32" i="1"/>
  <c r="T32" i="1" s="1"/>
  <c r="W32" i="1" s="1"/>
  <c r="O13" i="1"/>
  <c r="O3" i="1" s="1"/>
  <c r="L3" i="1"/>
  <c r="AJ14" i="1"/>
  <c r="AK14" i="1"/>
  <c r="C37" i="25"/>
  <c r="Z46" i="1"/>
  <c r="Y46" i="1"/>
  <c r="AN16" i="1"/>
  <c r="AN20" i="1"/>
  <c r="AN24" i="1"/>
  <c r="AN28" i="1"/>
  <c r="AN32" i="1"/>
  <c r="AN36" i="1"/>
  <c r="AN40" i="1"/>
  <c r="AN44" i="1"/>
  <c r="AN14" i="1"/>
  <c r="AN15" i="1"/>
  <c r="AN19" i="1"/>
  <c r="AN23" i="1"/>
  <c r="AN27" i="1"/>
  <c r="AN31" i="1"/>
  <c r="AN35" i="1"/>
  <c r="AN39" i="1"/>
  <c r="AN43" i="1"/>
  <c r="AN18" i="1"/>
  <c r="AN22" i="1"/>
  <c r="AN26" i="1"/>
  <c r="AN30" i="1"/>
  <c r="AN34" i="1"/>
  <c r="AN38" i="1"/>
  <c r="AN42" i="1"/>
  <c r="AN17" i="1"/>
  <c r="AN21" i="1"/>
  <c r="AN33" i="1"/>
  <c r="AN37" i="1"/>
  <c r="AN41" i="1"/>
  <c r="AR16" i="1"/>
  <c r="AR20" i="1"/>
  <c r="AR24" i="1"/>
  <c r="AR28" i="1"/>
  <c r="AR32" i="1"/>
  <c r="AR36" i="1"/>
  <c r="AR40" i="1"/>
  <c r="AR44" i="1"/>
  <c r="AR14" i="1"/>
  <c r="AR15" i="1"/>
  <c r="AR19" i="1"/>
  <c r="AR23" i="1"/>
  <c r="AR27" i="1"/>
  <c r="AR31" i="1"/>
  <c r="AR35" i="1"/>
  <c r="AR39" i="1"/>
  <c r="AR43" i="1"/>
  <c r="AR18" i="1"/>
  <c r="AR22" i="1"/>
  <c r="AR26" i="1"/>
  <c r="AR30" i="1"/>
  <c r="AR34" i="1"/>
  <c r="AR38" i="1"/>
  <c r="AR42" i="1"/>
  <c r="AR17" i="1"/>
  <c r="AR21" i="1"/>
  <c r="AR33" i="1"/>
  <c r="AR37" i="1"/>
  <c r="AR41" i="1"/>
  <c r="AL18" i="1"/>
  <c r="AL22" i="1"/>
  <c r="AL26" i="1"/>
  <c r="AL30" i="1"/>
  <c r="AL34" i="1"/>
  <c r="AL38" i="1"/>
  <c r="AL42" i="1"/>
  <c r="AL17" i="1"/>
  <c r="AL21" i="1"/>
  <c r="AL33" i="1"/>
  <c r="AL37" i="1"/>
  <c r="AL41" i="1"/>
  <c r="AL14" i="1"/>
  <c r="AL16" i="1"/>
  <c r="AL20" i="1"/>
  <c r="AL24" i="1"/>
  <c r="AL28" i="1"/>
  <c r="AL32" i="1"/>
  <c r="AL36" i="1"/>
  <c r="AL40" i="1"/>
  <c r="AL44" i="1"/>
  <c r="AL15" i="1"/>
  <c r="AL19" i="1"/>
  <c r="AL23" i="1"/>
  <c r="AL27" i="1"/>
  <c r="AL31" i="1"/>
  <c r="AL35" i="1"/>
  <c r="AL39" i="1"/>
  <c r="AL43" i="1"/>
  <c r="AP18" i="1"/>
  <c r="AP22" i="1"/>
  <c r="AP26" i="1"/>
  <c r="AP30" i="1"/>
  <c r="AP34" i="1"/>
  <c r="AP38" i="1"/>
  <c r="AP42" i="1"/>
  <c r="AP17" i="1"/>
  <c r="AP21" i="1"/>
  <c r="AP33" i="1"/>
  <c r="AP37" i="1"/>
  <c r="AP41" i="1"/>
  <c r="AP44" i="1"/>
  <c r="AP14" i="1"/>
  <c r="AP16" i="1"/>
  <c r="AP20" i="1"/>
  <c r="AP24" i="1"/>
  <c r="AP28" i="1"/>
  <c r="AP32" i="1"/>
  <c r="AP36" i="1"/>
  <c r="AP40" i="1"/>
  <c r="AP15" i="1"/>
  <c r="AP19" i="1"/>
  <c r="AP23" i="1"/>
  <c r="AP27" i="1"/>
  <c r="AP31" i="1"/>
  <c r="AP35" i="1"/>
  <c r="AP39" i="1"/>
  <c r="AP43" i="1"/>
  <c r="AQ15" i="1"/>
  <c r="AQ19" i="1"/>
  <c r="AQ23" i="1"/>
  <c r="AQ27" i="1"/>
  <c r="AQ31" i="1"/>
  <c r="AQ35" i="1"/>
  <c r="AQ39" i="1"/>
  <c r="AQ43" i="1"/>
  <c r="AQ18" i="1"/>
  <c r="AQ22" i="1"/>
  <c r="AQ26" i="1"/>
  <c r="AQ30" i="1"/>
  <c r="AQ34" i="1"/>
  <c r="AQ38" i="1"/>
  <c r="AQ42" i="1"/>
  <c r="AQ17" i="1"/>
  <c r="AQ21" i="1"/>
  <c r="AQ33" i="1"/>
  <c r="AQ37" i="1"/>
  <c r="AQ41" i="1"/>
  <c r="AQ16" i="1"/>
  <c r="AQ20" i="1"/>
  <c r="AQ24" i="1"/>
  <c r="AQ28" i="1"/>
  <c r="AQ32" i="1"/>
  <c r="AQ36" i="1"/>
  <c r="AQ40" i="1"/>
  <c r="AQ44" i="1"/>
  <c r="AQ14" i="1"/>
  <c r="AO17" i="1"/>
  <c r="AO21" i="1"/>
  <c r="AO33" i="1"/>
  <c r="AO37" i="1"/>
  <c r="AO41" i="1"/>
  <c r="AO16" i="1"/>
  <c r="AO20" i="1"/>
  <c r="AO24" i="1"/>
  <c r="AO28" i="1"/>
  <c r="AO32" i="1"/>
  <c r="AO36" i="1"/>
  <c r="AO40" i="1"/>
  <c r="AO44" i="1"/>
  <c r="AO14" i="1"/>
  <c r="AO15" i="1"/>
  <c r="AO19" i="1"/>
  <c r="AO23" i="1"/>
  <c r="AO27" i="1"/>
  <c r="AO31" i="1"/>
  <c r="AO35" i="1"/>
  <c r="AO39" i="1"/>
  <c r="AO43" i="1"/>
  <c r="AO18" i="1"/>
  <c r="AO22" i="1"/>
  <c r="AO26" i="1"/>
  <c r="AO30" i="1"/>
  <c r="AO34" i="1"/>
  <c r="AO38" i="1"/>
  <c r="AO42" i="1"/>
  <c r="AM15" i="1"/>
  <c r="AM19" i="1"/>
  <c r="AM23" i="1"/>
  <c r="AM27" i="1"/>
  <c r="AM31" i="1"/>
  <c r="AM35" i="1"/>
  <c r="AM39" i="1"/>
  <c r="AM43" i="1"/>
  <c r="AM18" i="1"/>
  <c r="AM22" i="1"/>
  <c r="AM26" i="1"/>
  <c r="AM30" i="1"/>
  <c r="AM34" i="1"/>
  <c r="AM38" i="1"/>
  <c r="AM42" i="1"/>
  <c r="AM17" i="1"/>
  <c r="AM21" i="1"/>
  <c r="AM33" i="1"/>
  <c r="AM37" i="1"/>
  <c r="AM41" i="1"/>
  <c r="AM16" i="1"/>
  <c r="AM20" i="1"/>
  <c r="AM24" i="1"/>
  <c r="AM28" i="1"/>
  <c r="AM32" i="1"/>
  <c r="AM36" i="1"/>
  <c r="AM40" i="1"/>
  <c r="AM44" i="1"/>
  <c r="AM14" i="1"/>
  <c r="Y37" i="38" a="1"/>
  <c r="Y37" i="38" s="1"/>
  <c r="A12" i="14"/>
  <c r="A12" i="32"/>
  <c r="A13" i="19"/>
  <c r="A12" i="3"/>
  <c r="A12" i="36"/>
  <c r="A17" i="42" s="1"/>
  <c r="B37" i="43" s="1"/>
  <c r="A11" i="25"/>
  <c r="A12" i="30"/>
  <c r="A12" i="28"/>
  <c r="A11" i="33"/>
  <c r="A15" i="37" s="1"/>
  <c r="A12" i="29"/>
  <c r="A17" i="8"/>
  <c r="A12" i="38" s="1"/>
  <c r="A12" i="31"/>
  <c r="A17" i="20"/>
  <c r="A15" i="12"/>
  <c r="A15" i="13"/>
  <c r="T14" i="1" l="1"/>
  <c r="W14" i="1" s="1"/>
  <c r="Y14" i="1" s="1"/>
  <c r="X14" i="1" s="1"/>
  <c r="C16" i="25"/>
  <c r="Z25" i="1"/>
  <c r="Y25" i="1"/>
  <c r="X25" i="1" s="1"/>
  <c r="AN8" i="37"/>
  <c r="AT43" i="37"/>
  <c r="F12" i="40"/>
  <c r="G12" i="40" s="1"/>
  <c r="C28" i="25"/>
  <c r="Z22" i="1"/>
  <c r="C29" i="25"/>
  <c r="C19" i="25"/>
  <c r="Z17" i="1"/>
  <c r="Y37" i="1"/>
  <c r="X37" i="1" s="1"/>
  <c r="C13" i="25"/>
  <c r="F35" i="40"/>
  <c r="G35" i="40" s="1"/>
  <c r="Z38" i="1"/>
  <c r="Z28" i="1"/>
  <c r="Y28" i="1"/>
  <c r="X28" i="1" s="1"/>
  <c r="F25" i="40"/>
  <c r="G25" i="40" s="1"/>
  <c r="F39" i="40"/>
  <c r="G39" i="40" s="1"/>
  <c r="C33" i="25"/>
  <c r="Z42" i="1"/>
  <c r="Y42" i="1"/>
  <c r="X42" i="1" s="1"/>
  <c r="C35" i="25"/>
  <c r="F41" i="40"/>
  <c r="G41" i="40" s="1"/>
  <c r="Y44" i="1"/>
  <c r="X44" i="1" s="1"/>
  <c r="Z44" i="1"/>
  <c r="C10" i="25"/>
  <c r="Z19" i="1"/>
  <c r="F16" i="40"/>
  <c r="G16" i="40" s="1"/>
  <c r="Y19" i="1"/>
  <c r="X19" i="1" s="1"/>
  <c r="C32" i="25"/>
  <c r="F38" i="40"/>
  <c r="G38" i="40" s="1"/>
  <c r="Z41" i="1"/>
  <c r="Y41" i="1"/>
  <c r="X41" i="1" s="1"/>
  <c r="C17" i="25"/>
  <c r="Z26" i="1"/>
  <c r="F23" i="40"/>
  <c r="G23" i="40" s="1"/>
  <c r="Y26" i="1"/>
  <c r="X26" i="1" s="1"/>
  <c r="C14" i="25"/>
  <c r="F20" i="40"/>
  <c r="G20" i="40" s="1"/>
  <c r="Y23" i="1"/>
  <c r="X23" i="1" s="1"/>
  <c r="Z23" i="1"/>
  <c r="C23" i="25"/>
  <c r="Y32" i="1"/>
  <c r="X32" i="1" s="1"/>
  <c r="F29" i="40"/>
  <c r="G29" i="40" s="1"/>
  <c r="Z32" i="1"/>
  <c r="C7" i="25"/>
  <c r="Y16" i="1"/>
  <c r="X16" i="1" s="1"/>
  <c r="F13" i="40"/>
  <c r="G13" i="40" s="1"/>
  <c r="Z16" i="1"/>
  <c r="C22" i="25"/>
  <c r="Z31" i="1"/>
  <c r="Y31" i="1"/>
  <c r="X31" i="1" s="1"/>
  <c r="F28" i="40"/>
  <c r="G28" i="40" s="1"/>
  <c r="C12" i="25"/>
  <c r="F18" i="40"/>
  <c r="G18" i="40" s="1"/>
  <c r="Z21" i="1"/>
  <c r="Y21" i="1"/>
  <c r="X21" i="1" s="1"/>
  <c r="C18" i="25"/>
  <c r="F24" i="40"/>
  <c r="G24" i="40" s="1"/>
  <c r="Z27" i="1"/>
  <c r="Y27" i="1"/>
  <c r="X27" i="1" s="1"/>
  <c r="C21" i="25"/>
  <c r="F27" i="40"/>
  <c r="G27" i="40" s="1"/>
  <c r="Y30" i="1"/>
  <c r="X30" i="1" s="1"/>
  <c r="Z30" i="1"/>
  <c r="C30" i="25"/>
  <c r="Y39" i="1"/>
  <c r="X39" i="1" s="1"/>
  <c r="F36" i="40"/>
  <c r="G36" i="40" s="1"/>
  <c r="Z39" i="1"/>
  <c r="C27" i="25"/>
  <c r="Z36" i="1"/>
  <c r="Y36" i="1"/>
  <c r="X36" i="1" s="1"/>
  <c r="F33" i="40"/>
  <c r="G33" i="40" s="1"/>
  <c r="F40" i="40"/>
  <c r="G40" i="40" s="1"/>
  <c r="C34" i="25"/>
  <c r="Y43" i="1"/>
  <c r="X43" i="1" s="1"/>
  <c r="Z43" i="1"/>
  <c r="C9" i="25"/>
  <c r="F15" i="40"/>
  <c r="G15" i="40" s="1"/>
  <c r="Y18" i="1"/>
  <c r="X18" i="1" s="1"/>
  <c r="Z18" i="1"/>
  <c r="C24" i="25"/>
  <c r="F30" i="40"/>
  <c r="G30" i="40" s="1"/>
  <c r="Z33" i="1"/>
  <c r="Y33" i="1"/>
  <c r="X33" i="1" s="1"/>
  <c r="C26" i="25"/>
  <c r="F32" i="40"/>
  <c r="G32" i="40" s="1"/>
  <c r="Y35" i="1"/>
  <c r="X35" i="1" s="1"/>
  <c r="Z35" i="1"/>
  <c r="C25" i="25"/>
  <c r="Z34" i="1"/>
  <c r="Y34" i="1"/>
  <c r="X34" i="1" s="1"/>
  <c r="F31" i="40"/>
  <c r="G31" i="40" s="1"/>
  <c r="C15" i="25"/>
  <c r="F21" i="40"/>
  <c r="G21" i="40" s="1"/>
  <c r="Z24" i="1"/>
  <c r="Y24" i="1"/>
  <c r="X24" i="1" s="1"/>
  <c r="C31" i="25"/>
  <c r="F37" i="40"/>
  <c r="G37" i="40" s="1"/>
  <c r="Z40" i="1"/>
  <c r="Y40" i="1"/>
  <c r="X40" i="1" s="1"/>
  <c r="F14" i="40"/>
  <c r="G14" i="40" s="1"/>
  <c r="C11" i="25"/>
  <c r="F17" i="40"/>
  <c r="G17" i="40" s="1"/>
  <c r="Z20" i="1"/>
  <c r="Y20" i="1"/>
  <c r="X20" i="1" s="1"/>
  <c r="AA46" i="1"/>
  <c r="C39" i="3"/>
  <c r="J6" i="3"/>
  <c r="E6" i="3"/>
  <c r="A13" i="31"/>
  <c r="A16" i="12"/>
  <c r="A13" i="3"/>
  <c r="A13" i="28"/>
  <c r="A16" i="13"/>
  <c r="A13" i="30"/>
  <c r="A18" i="8"/>
  <c r="A13" i="38" s="1"/>
  <c r="A13" i="14"/>
  <c r="A13" i="32"/>
  <c r="A12" i="25"/>
  <c r="A13" i="36"/>
  <c r="A18" i="42" s="1"/>
  <c r="B38" i="43" s="1"/>
  <c r="A12" i="33"/>
  <c r="A16" i="37" s="1"/>
  <c r="A14" i="19"/>
  <c r="A18" i="20"/>
  <c r="A13" i="29"/>
  <c r="AA25" i="1" l="1"/>
  <c r="G22" i="8"/>
  <c r="C20" i="12"/>
  <c r="E20" i="12" s="1"/>
  <c r="F17" i="29"/>
  <c r="G17" i="29" s="1"/>
  <c r="F17" i="28"/>
  <c r="G17" i="28" s="1"/>
  <c r="C20" i="13" s="1"/>
  <c r="C18" i="19"/>
  <c r="C16" i="33" s="1"/>
  <c r="F17" i="32"/>
  <c r="G17" i="32" s="1"/>
  <c r="F17" i="31"/>
  <c r="G17" i="31" s="1"/>
  <c r="F17" i="14"/>
  <c r="G17" i="14" s="1"/>
  <c r="C17" i="36"/>
  <c r="F17" i="3"/>
  <c r="G17" i="3" s="1"/>
  <c r="F17" i="30"/>
  <c r="G17" i="30" s="1"/>
  <c r="AT8" i="37"/>
  <c r="AZ43" i="37"/>
  <c r="AA39" i="1"/>
  <c r="AA41" i="1"/>
  <c r="AA42" i="1"/>
  <c r="Y22" i="1"/>
  <c r="X22" i="1" s="1"/>
  <c r="C14" i="36" s="1"/>
  <c r="AA21" i="1"/>
  <c r="Z37" i="1"/>
  <c r="AA37" i="1" s="1"/>
  <c r="Y38" i="1"/>
  <c r="X38" i="1" s="1"/>
  <c r="F30" i="31" s="1"/>
  <c r="G30" i="31" s="1"/>
  <c r="F19" i="40"/>
  <c r="G19" i="40" s="1"/>
  <c r="F34" i="40"/>
  <c r="G34" i="40" s="1"/>
  <c r="AA27" i="1"/>
  <c r="AA19" i="1"/>
  <c r="Y15" i="1"/>
  <c r="X15" i="1" s="1"/>
  <c r="C6" i="25"/>
  <c r="Z15" i="1"/>
  <c r="AA33" i="1"/>
  <c r="Y17" i="1"/>
  <c r="X17" i="1" s="1"/>
  <c r="G14" i="8" s="1"/>
  <c r="C8" i="25"/>
  <c r="C5" i="25"/>
  <c r="F11" i="40"/>
  <c r="G11" i="40" s="1"/>
  <c r="Z14" i="1"/>
  <c r="AA14" i="1" s="1"/>
  <c r="AA31" i="1"/>
  <c r="AA26" i="1"/>
  <c r="AA24" i="1"/>
  <c r="F12" i="31"/>
  <c r="G12" i="31" s="1"/>
  <c r="F12" i="29"/>
  <c r="G12" i="29" s="1"/>
  <c r="C15" i="12"/>
  <c r="E15" i="12" s="1"/>
  <c r="F12" i="30"/>
  <c r="G12" i="30" s="1"/>
  <c r="F12" i="3"/>
  <c r="G12" i="3" s="1"/>
  <c r="C13" i="19"/>
  <c r="C11" i="33" s="1"/>
  <c r="G17" i="8"/>
  <c r="F12" i="28"/>
  <c r="G12" i="28" s="1"/>
  <c r="C15" i="13" s="1"/>
  <c r="F12" i="14"/>
  <c r="G12" i="14" s="1"/>
  <c r="F12" i="32"/>
  <c r="G12" i="32" s="1"/>
  <c r="C12" i="36"/>
  <c r="AA20" i="1"/>
  <c r="C29" i="12"/>
  <c r="E29" i="12" s="1"/>
  <c r="F26" i="14"/>
  <c r="G26" i="14" s="1"/>
  <c r="C26" i="36"/>
  <c r="F26" i="32"/>
  <c r="G26" i="32" s="1"/>
  <c r="G31" i="8"/>
  <c r="F26" i="31"/>
  <c r="G26" i="31" s="1"/>
  <c r="F26" i="28"/>
  <c r="G26" i="28" s="1"/>
  <c r="C29" i="13" s="1"/>
  <c r="F26" i="29"/>
  <c r="G26" i="29" s="1"/>
  <c r="F26" i="3"/>
  <c r="G26" i="3" s="1"/>
  <c r="C27" i="19"/>
  <c r="C25" i="33" s="1"/>
  <c r="F26" i="30"/>
  <c r="G26" i="30" s="1"/>
  <c r="F35" i="30"/>
  <c r="G35" i="30" s="1"/>
  <c r="F35" i="14"/>
  <c r="G35" i="14" s="1"/>
  <c r="C35" i="36"/>
  <c r="G40" i="8"/>
  <c r="F35" i="32"/>
  <c r="G35" i="32" s="1"/>
  <c r="F35" i="3"/>
  <c r="G35" i="3" s="1"/>
  <c r="C36" i="19"/>
  <c r="C34" i="33" s="1"/>
  <c r="C38" i="12"/>
  <c r="E38" i="12" s="1"/>
  <c r="F35" i="28"/>
  <c r="G35" i="28" s="1"/>
  <c r="C38" i="13" s="1"/>
  <c r="F35" i="31"/>
  <c r="G35" i="31" s="1"/>
  <c r="F35" i="29"/>
  <c r="G35" i="29" s="1"/>
  <c r="C31" i="12"/>
  <c r="E31" i="12" s="1"/>
  <c r="C28" i="36"/>
  <c r="F28" i="3"/>
  <c r="G28" i="3" s="1"/>
  <c r="F28" i="32"/>
  <c r="G28" i="32" s="1"/>
  <c r="C29" i="19"/>
  <c r="C27" i="33" s="1"/>
  <c r="F28" i="14"/>
  <c r="G28" i="14" s="1"/>
  <c r="F28" i="28"/>
  <c r="G28" i="28" s="1"/>
  <c r="C31" i="13" s="1"/>
  <c r="F28" i="31"/>
  <c r="G28" i="31" s="1"/>
  <c r="F28" i="30"/>
  <c r="G28" i="30" s="1"/>
  <c r="G33" i="8"/>
  <c r="F28" i="29"/>
  <c r="G28" i="29" s="1"/>
  <c r="F22" i="3"/>
  <c r="G22" i="3" s="1"/>
  <c r="C25" i="12"/>
  <c r="E25" i="12" s="1"/>
  <c r="C22" i="36"/>
  <c r="F22" i="14"/>
  <c r="G22" i="14" s="1"/>
  <c r="G27" i="8"/>
  <c r="F22" i="31"/>
  <c r="G22" i="31" s="1"/>
  <c r="C23" i="19"/>
  <c r="C21" i="33" s="1"/>
  <c r="F22" i="32"/>
  <c r="G22" i="32" s="1"/>
  <c r="F22" i="28"/>
  <c r="G22" i="28" s="1"/>
  <c r="C25" i="13" s="1"/>
  <c r="F22" i="29"/>
  <c r="G22" i="29" s="1"/>
  <c r="F22" i="30"/>
  <c r="G22" i="30" s="1"/>
  <c r="F23" i="3"/>
  <c r="G23" i="3" s="1"/>
  <c r="C23" i="36"/>
  <c r="C24" i="19"/>
  <c r="C22" i="33" s="1"/>
  <c r="F23" i="32"/>
  <c r="G23" i="32" s="1"/>
  <c r="F23" i="14"/>
  <c r="G23" i="14" s="1"/>
  <c r="C26" i="12"/>
  <c r="E26" i="12" s="1"/>
  <c r="F23" i="29"/>
  <c r="G23" i="29" s="1"/>
  <c r="F23" i="30"/>
  <c r="G23" i="30" s="1"/>
  <c r="F23" i="28"/>
  <c r="G23" i="28" s="1"/>
  <c r="C26" i="13" s="1"/>
  <c r="F23" i="31"/>
  <c r="G23" i="31" s="1"/>
  <c r="G28" i="8"/>
  <c r="G20" i="8"/>
  <c r="F15" i="3"/>
  <c r="G15" i="3" s="1"/>
  <c r="F15" i="14"/>
  <c r="G15" i="14" s="1"/>
  <c r="F15" i="31"/>
  <c r="G15" i="31" s="1"/>
  <c r="F15" i="30"/>
  <c r="G15" i="30" s="1"/>
  <c r="F15" i="28"/>
  <c r="G15" i="28" s="1"/>
  <c r="C18" i="13" s="1"/>
  <c r="C18" i="12"/>
  <c r="E18" i="12" s="1"/>
  <c r="F15" i="29"/>
  <c r="G15" i="29" s="1"/>
  <c r="C15" i="36"/>
  <c r="F15" i="32"/>
  <c r="G15" i="32" s="1"/>
  <c r="C16" i="19"/>
  <c r="C14" i="33" s="1"/>
  <c r="C36" i="36"/>
  <c r="C37" i="19"/>
  <c r="C35" i="33" s="1"/>
  <c r="F36" i="14"/>
  <c r="G36" i="14" s="1"/>
  <c r="F36" i="28"/>
  <c r="G36" i="28" s="1"/>
  <c r="C39" i="13" s="1"/>
  <c r="F36" i="3"/>
  <c r="G36" i="3" s="1"/>
  <c r="F36" i="29"/>
  <c r="G36" i="29" s="1"/>
  <c r="G41" i="8"/>
  <c r="F36" i="31"/>
  <c r="G36" i="31" s="1"/>
  <c r="C39" i="12"/>
  <c r="E39" i="12" s="1"/>
  <c r="F36" i="30"/>
  <c r="G36" i="30" s="1"/>
  <c r="F36" i="32"/>
  <c r="G36" i="32" s="1"/>
  <c r="AA34" i="1"/>
  <c r="AA36" i="1"/>
  <c r="C8" i="36"/>
  <c r="C9" i="19"/>
  <c r="C7" i="33" s="1"/>
  <c r="F8" i="14"/>
  <c r="G8" i="14" s="1"/>
  <c r="F8" i="29"/>
  <c r="G8" i="29" s="1"/>
  <c r="F8" i="32"/>
  <c r="G8" i="32" s="1"/>
  <c r="F8" i="3"/>
  <c r="G8" i="3" s="1"/>
  <c r="C11" i="12"/>
  <c r="E11" i="12" s="1"/>
  <c r="G13" i="8"/>
  <c r="F8" i="30"/>
  <c r="G8" i="30" s="1"/>
  <c r="F8" i="28"/>
  <c r="G8" i="28" s="1"/>
  <c r="C11" i="13" s="1"/>
  <c r="E11" i="13" s="1"/>
  <c r="F8" i="31"/>
  <c r="G8" i="31" s="1"/>
  <c r="F24" i="31"/>
  <c r="G24" i="31" s="1"/>
  <c r="C24" i="36"/>
  <c r="F24" i="29"/>
  <c r="G24" i="29" s="1"/>
  <c r="F24" i="3"/>
  <c r="G24" i="3" s="1"/>
  <c r="C25" i="19"/>
  <c r="C23" i="33" s="1"/>
  <c r="F24" i="28"/>
  <c r="G24" i="28" s="1"/>
  <c r="C27" i="13" s="1"/>
  <c r="F24" i="30"/>
  <c r="G24" i="30" s="1"/>
  <c r="C27" i="12"/>
  <c r="E27" i="12" s="1"/>
  <c r="G29" i="8"/>
  <c r="F24" i="32"/>
  <c r="G24" i="32" s="1"/>
  <c r="F24" i="14"/>
  <c r="G24" i="14" s="1"/>
  <c r="C23" i="12"/>
  <c r="E23" i="12" s="1"/>
  <c r="C20" i="36"/>
  <c r="F20" i="28"/>
  <c r="G20" i="28" s="1"/>
  <c r="C23" i="13" s="1"/>
  <c r="C21" i="19"/>
  <c r="C19" i="33" s="1"/>
  <c r="F20" i="31"/>
  <c r="G20" i="31" s="1"/>
  <c r="F20" i="14"/>
  <c r="G20" i="14" s="1"/>
  <c r="F20" i="32"/>
  <c r="G20" i="32" s="1"/>
  <c r="G25" i="8"/>
  <c r="F20" i="3"/>
  <c r="G20" i="3" s="1"/>
  <c r="F20" i="29"/>
  <c r="G20" i="29" s="1"/>
  <c r="F20" i="30"/>
  <c r="G20" i="30" s="1"/>
  <c r="AA40" i="1"/>
  <c r="C27" i="36"/>
  <c r="C28" i="19"/>
  <c r="C26" i="33" s="1"/>
  <c r="F27" i="32"/>
  <c r="G27" i="32" s="1"/>
  <c r="F27" i="3"/>
  <c r="G27" i="3" s="1"/>
  <c r="F27" i="29"/>
  <c r="G27" i="29" s="1"/>
  <c r="C30" i="12"/>
  <c r="E30" i="12" s="1"/>
  <c r="F27" i="31"/>
  <c r="G27" i="31" s="1"/>
  <c r="F27" i="28"/>
  <c r="G27" i="28" s="1"/>
  <c r="C30" i="13" s="1"/>
  <c r="F27" i="30"/>
  <c r="G27" i="30" s="1"/>
  <c r="F27" i="14"/>
  <c r="G27" i="14" s="1"/>
  <c r="G32" i="8"/>
  <c r="C10" i="36"/>
  <c r="C13" i="12"/>
  <c r="E13" i="12" s="1"/>
  <c r="F10" i="31"/>
  <c r="G10" i="31" s="1"/>
  <c r="C11" i="19"/>
  <c r="C9" i="33" s="1"/>
  <c r="F10" i="14"/>
  <c r="G10" i="14" s="1"/>
  <c r="F10" i="29"/>
  <c r="G10" i="29" s="1"/>
  <c r="F10" i="28"/>
  <c r="G10" i="28" s="1"/>
  <c r="C13" i="13" s="1"/>
  <c r="F10" i="3"/>
  <c r="G10" i="3" s="1"/>
  <c r="G15" i="8"/>
  <c r="H15" i="8" s="1"/>
  <c r="F10" i="32"/>
  <c r="G10" i="32" s="1"/>
  <c r="F10" i="30"/>
  <c r="G10" i="30" s="1"/>
  <c r="C34" i="12"/>
  <c r="E34" i="12" s="1"/>
  <c r="F31" i="31"/>
  <c r="G31" i="31" s="1"/>
  <c r="G36" i="8"/>
  <c r="F31" i="28"/>
  <c r="G31" i="28" s="1"/>
  <c r="C34" i="13" s="1"/>
  <c r="C32" i="19"/>
  <c r="C30" i="33" s="1"/>
  <c r="F31" i="30"/>
  <c r="G31" i="30" s="1"/>
  <c r="F31" i="32"/>
  <c r="G31" i="32" s="1"/>
  <c r="F31" i="14"/>
  <c r="G31" i="14" s="1"/>
  <c r="C31" i="36"/>
  <c r="F31" i="3"/>
  <c r="G31" i="3" s="1"/>
  <c r="F31" i="29"/>
  <c r="G31" i="29" s="1"/>
  <c r="F22" i="40"/>
  <c r="G22" i="40" s="1"/>
  <c r="G11" i="8"/>
  <c r="H11" i="8" s="1"/>
  <c r="F6" i="29"/>
  <c r="G6" i="29" s="1"/>
  <c r="F6" i="32"/>
  <c r="G6" i="32" s="1"/>
  <c r="F6" i="31"/>
  <c r="G6" i="31" s="1"/>
  <c r="F6" i="14"/>
  <c r="G6" i="14" s="1"/>
  <c r="F6" i="28"/>
  <c r="G6" i="28" s="1"/>
  <c r="C9" i="13" s="1"/>
  <c r="F6" i="3"/>
  <c r="G6" i="3" s="1"/>
  <c r="F6" i="30"/>
  <c r="G6" i="30" s="1"/>
  <c r="C7" i="19"/>
  <c r="C5" i="33" s="1"/>
  <c r="C9" i="12"/>
  <c r="E9" i="12" s="1"/>
  <c r="C6" i="36"/>
  <c r="AA28" i="1"/>
  <c r="F29" i="31"/>
  <c r="G29" i="31" s="1"/>
  <c r="C30" i="19"/>
  <c r="C28" i="33" s="1"/>
  <c r="C29" i="36"/>
  <c r="C32" i="12"/>
  <c r="E32" i="12" s="1"/>
  <c r="F29" i="30"/>
  <c r="G29" i="30" s="1"/>
  <c r="F29" i="32"/>
  <c r="G29" i="32" s="1"/>
  <c r="F29" i="28"/>
  <c r="G29" i="28" s="1"/>
  <c r="C32" i="13" s="1"/>
  <c r="F29" i="3"/>
  <c r="G29" i="3" s="1"/>
  <c r="G34" i="8"/>
  <c r="F29" i="14"/>
  <c r="G29" i="14" s="1"/>
  <c r="F29" i="29"/>
  <c r="G29" i="29" s="1"/>
  <c r="C33" i="19"/>
  <c r="C31" i="33" s="1"/>
  <c r="F32" i="31"/>
  <c r="G32" i="31" s="1"/>
  <c r="F32" i="32"/>
  <c r="G32" i="32" s="1"/>
  <c r="F32" i="28"/>
  <c r="G32" i="28" s="1"/>
  <c r="C35" i="13" s="1"/>
  <c r="C32" i="36"/>
  <c r="C35" i="12"/>
  <c r="E35" i="12" s="1"/>
  <c r="F32" i="30"/>
  <c r="G32" i="30" s="1"/>
  <c r="F32" i="14"/>
  <c r="G32" i="14" s="1"/>
  <c r="F32" i="3"/>
  <c r="G32" i="3" s="1"/>
  <c r="F32" i="29"/>
  <c r="G32" i="29" s="1"/>
  <c r="G37" i="8"/>
  <c r="F16" i="32"/>
  <c r="G16" i="32" s="1"/>
  <c r="C16" i="36"/>
  <c r="F16" i="14"/>
  <c r="G16" i="14" s="1"/>
  <c r="G21" i="8"/>
  <c r="F16" i="29"/>
  <c r="G16" i="29" s="1"/>
  <c r="C19" i="12"/>
  <c r="E19" i="12" s="1"/>
  <c r="C17" i="19"/>
  <c r="C15" i="33" s="1"/>
  <c r="F16" i="3"/>
  <c r="G16" i="3" s="1"/>
  <c r="F16" i="30"/>
  <c r="G16" i="30" s="1"/>
  <c r="F16" i="28"/>
  <c r="G16" i="28" s="1"/>
  <c r="C19" i="13" s="1"/>
  <c r="F16" i="31"/>
  <c r="G16" i="31" s="1"/>
  <c r="AA35" i="1"/>
  <c r="F25" i="29"/>
  <c r="G25" i="29" s="1"/>
  <c r="F25" i="32"/>
  <c r="G25" i="32" s="1"/>
  <c r="C28" i="12"/>
  <c r="E28" i="12" s="1"/>
  <c r="F25" i="28"/>
  <c r="G25" i="28" s="1"/>
  <c r="C28" i="13" s="1"/>
  <c r="G30" i="8"/>
  <c r="F25" i="30"/>
  <c r="G25" i="30" s="1"/>
  <c r="F25" i="14"/>
  <c r="G25" i="14" s="1"/>
  <c r="C25" i="36"/>
  <c r="F25" i="31"/>
  <c r="G25" i="31" s="1"/>
  <c r="F25" i="3"/>
  <c r="G25" i="3" s="1"/>
  <c r="C26" i="19"/>
  <c r="C24" i="33" s="1"/>
  <c r="AA18" i="1"/>
  <c r="AA43" i="1"/>
  <c r="AA30" i="1"/>
  <c r="G24" i="8"/>
  <c r="F19" i="3"/>
  <c r="G19" i="3" s="1"/>
  <c r="C19" i="36"/>
  <c r="F19" i="14"/>
  <c r="G19" i="14" s="1"/>
  <c r="C22" i="12"/>
  <c r="E22" i="12" s="1"/>
  <c r="F19" i="28"/>
  <c r="G19" i="28" s="1"/>
  <c r="C22" i="13" s="1"/>
  <c r="C20" i="19"/>
  <c r="C18" i="33" s="1"/>
  <c r="F19" i="31"/>
  <c r="G19" i="31" s="1"/>
  <c r="F19" i="30"/>
  <c r="G19" i="30" s="1"/>
  <c r="F19" i="32"/>
  <c r="G19" i="32" s="1"/>
  <c r="F19" i="29"/>
  <c r="G19" i="29" s="1"/>
  <c r="F13" i="32"/>
  <c r="G13" i="32" s="1"/>
  <c r="G18" i="8"/>
  <c r="F13" i="31"/>
  <c r="G13" i="31" s="1"/>
  <c r="C14" i="19"/>
  <c r="C12" i="33" s="1"/>
  <c r="C13" i="36"/>
  <c r="F13" i="30"/>
  <c r="G13" i="30" s="1"/>
  <c r="F13" i="3"/>
  <c r="G13" i="3" s="1"/>
  <c r="F13" i="29"/>
  <c r="G13" i="29" s="1"/>
  <c r="C16" i="12"/>
  <c r="E16" i="12" s="1"/>
  <c r="F13" i="28"/>
  <c r="G13" i="28" s="1"/>
  <c r="C16" i="13" s="1"/>
  <c r="F13" i="14"/>
  <c r="G13" i="14" s="1"/>
  <c r="AA16" i="1"/>
  <c r="AA32" i="1"/>
  <c r="AA23" i="1"/>
  <c r="F18" i="31"/>
  <c r="G18" i="31" s="1"/>
  <c r="G23" i="8"/>
  <c r="F18" i="30"/>
  <c r="G18" i="30" s="1"/>
  <c r="F18" i="29"/>
  <c r="G18" i="29" s="1"/>
  <c r="C21" i="12"/>
  <c r="E21" i="12" s="1"/>
  <c r="F18" i="3"/>
  <c r="G18" i="3" s="1"/>
  <c r="F18" i="14"/>
  <c r="G18" i="14" s="1"/>
  <c r="F18" i="28"/>
  <c r="G18" i="28" s="1"/>
  <c r="C21" i="13" s="1"/>
  <c r="C19" i="19"/>
  <c r="C17" i="33" s="1"/>
  <c r="F18" i="32"/>
  <c r="G18" i="32" s="1"/>
  <c r="C18" i="36"/>
  <c r="F33" i="3"/>
  <c r="G33" i="3" s="1"/>
  <c r="F33" i="14"/>
  <c r="G33" i="14" s="1"/>
  <c r="C34" i="19"/>
  <c r="C32" i="33" s="1"/>
  <c r="F33" i="32"/>
  <c r="G33" i="32" s="1"/>
  <c r="C33" i="36"/>
  <c r="F33" i="31"/>
  <c r="G33" i="31" s="1"/>
  <c r="F33" i="29"/>
  <c r="G33" i="29" s="1"/>
  <c r="F33" i="28"/>
  <c r="G33" i="28" s="1"/>
  <c r="C36" i="13" s="1"/>
  <c r="G38" i="8"/>
  <c r="C36" i="12"/>
  <c r="E36" i="12" s="1"/>
  <c r="F33" i="30"/>
  <c r="G33" i="30" s="1"/>
  <c r="C14" i="12"/>
  <c r="E14" i="12" s="1"/>
  <c r="G16" i="8"/>
  <c r="F11" i="31"/>
  <c r="G11" i="31" s="1"/>
  <c r="F11" i="14"/>
  <c r="G11" i="14" s="1"/>
  <c r="C11" i="36"/>
  <c r="F11" i="28"/>
  <c r="G11" i="28" s="1"/>
  <c r="C14" i="13" s="1"/>
  <c r="F11" i="29"/>
  <c r="G11" i="29" s="1"/>
  <c r="F11" i="30"/>
  <c r="G11" i="30" s="1"/>
  <c r="F11" i="32"/>
  <c r="G11" i="32" s="1"/>
  <c r="C12" i="19"/>
  <c r="C10" i="33" s="1"/>
  <c r="F11" i="3"/>
  <c r="G11" i="3" s="1"/>
  <c r="AA44" i="1"/>
  <c r="F34" i="32"/>
  <c r="G34" i="32" s="1"/>
  <c r="C34" i="36"/>
  <c r="F34" i="28"/>
  <c r="G34" i="28" s="1"/>
  <c r="C37" i="13" s="1"/>
  <c r="F34" i="3"/>
  <c r="G34" i="3" s="1"/>
  <c r="F34" i="30"/>
  <c r="G34" i="30" s="1"/>
  <c r="C37" i="12"/>
  <c r="E37" i="12" s="1"/>
  <c r="G39" i="8"/>
  <c r="C35" i="19"/>
  <c r="C33" i="33" s="1"/>
  <c r="F34" i="14"/>
  <c r="G34" i="14" s="1"/>
  <c r="F34" i="31"/>
  <c r="G34" i="31" s="1"/>
  <c r="F34" i="29"/>
  <c r="G34" i="29" s="1"/>
  <c r="F26" i="40"/>
  <c r="G26" i="40" s="1"/>
  <c r="H26" i="40"/>
  <c r="I26" i="40"/>
  <c r="F43" i="40"/>
  <c r="G43" i="40" s="1"/>
  <c r="H43" i="40" s="1"/>
  <c r="I26" i="8"/>
  <c r="F22" i="19" s="1"/>
  <c r="A14" i="29"/>
  <c r="A14" i="14"/>
  <c r="A19" i="8"/>
  <c r="A14" i="38" s="1"/>
  <c r="A13" i="33"/>
  <c r="A17" i="37" s="1"/>
  <c r="A13" i="25"/>
  <c r="A14" i="32"/>
  <c r="A15" i="19"/>
  <c r="A14" i="28"/>
  <c r="A14" i="30"/>
  <c r="A17" i="12"/>
  <c r="A19" i="20"/>
  <c r="A17" i="13"/>
  <c r="A14" i="31"/>
  <c r="A14" i="3"/>
  <c r="A14" i="36"/>
  <c r="A19" i="42" s="1"/>
  <c r="B39" i="43" s="1"/>
  <c r="H22" i="8" l="1"/>
  <c r="I22" i="8" s="1"/>
  <c r="F18" i="19" s="1"/>
  <c r="X17" i="38"/>
  <c r="X20" i="38"/>
  <c r="Y20" i="38" s="1" a="1"/>
  <c r="Y20" i="38" s="1"/>
  <c r="H25" i="8"/>
  <c r="X34" i="38"/>
  <c r="Y34" i="38" s="1" a="1"/>
  <c r="Y34" i="38" s="1"/>
  <c r="H39" i="8"/>
  <c r="X16" i="38"/>
  <c r="Y16" i="38" s="1" a="1"/>
  <c r="Y16" i="38" s="1"/>
  <c r="H21" i="8"/>
  <c r="X32" i="38"/>
  <c r="Y32" i="38" s="1" a="1"/>
  <c r="Y32" i="38" s="1"/>
  <c r="H37" i="8"/>
  <c r="X24" i="38"/>
  <c r="Y24" i="38" s="1" a="1"/>
  <c r="Y24" i="38" s="1"/>
  <c r="H29" i="8"/>
  <c r="X8" i="38"/>
  <c r="Y8" i="38" s="1" a="1"/>
  <c r="Y8" i="38" s="1"/>
  <c r="H13" i="8"/>
  <c r="X23" i="38"/>
  <c r="Y23" i="38" s="1" a="1"/>
  <c r="Y23" i="38" s="1"/>
  <c r="H28" i="8"/>
  <c r="X35" i="38"/>
  <c r="Y35" i="38" s="1" a="1"/>
  <c r="Y35" i="38" s="1"/>
  <c r="H40" i="8"/>
  <c r="X12" i="38"/>
  <c r="Y12" i="38" s="1" a="1"/>
  <c r="Y12" i="38" s="1"/>
  <c r="H17" i="8"/>
  <c r="X22" i="38"/>
  <c r="Y22" i="38" s="1" a="1"/>
  <c r="Y22" i="38" s="1"/>
  <c r="H27" i="8"/>
  <c r="X33" i="38"/>
  <c r="Y33" i="38" s="1" a="1"/>
  <c r="Y33" i="38" s="1"/>
  <c r="H38" i="8"/>
  <c r="X13" i="38"/>
  <c r="Y13" i="38" s="1" a="1"/>
  <c r="Y13" i="38" s="1"/>
  <c r="H18" i="8"/>
  <c r="X29" i="38"/>
  <c r="Y29" i="38" s="1" a="1"/>
  <c r="Y29" i="38" s="1"/>
  <c r="H34" i="8"/>
  <c r="X10" i="38"/>
  <c r="Y10" i="38" s="1" a="1"/>
  <c r="Y10" i="38" s="1"/>
  <c r="X26" i="38"/>
  <c r="Y26" i="38" s="1" a="1"/>
  <c r="Y26" i="38" s="1"/>
  <c r="H31" i="8"/>
  <c r="X9" i="38"/>
  <c r="Y9" i="38" s="1" a="1"/>
  <c r="Y9" i="38" s="1"/>
  <c r="H14" i="8"/>
  <c r="X11" i="38"/>
  <c r="Y11" i="38" s="1" a="1"/>
  <c r="Y11" i="38" s="1"/>
  <c r="H16" i="8"/>
  <c r="X19" i="38"/>
  <c r="Y19" i="38" s="1" a="1"/>
  <c r="Y19" i="38" s="1"/>
  <c r="H24" i="8"/>
  <c r="X31" i="38"/>
  <c r="Y31" i="38" s="1" a="1"/>
  <c r="Y31" i="38" s="1"/>
  <c r="H36" i="8"/>
  <c r="X36" i="38"/>
  <c r="Y36" i="38" s="1" a="1"/>
  <c r="Y36" i="38" s="1"/>
  <c r="H41" i="8"/>
  <c r="I41" i="8" s="1"/>
  <c r="F37" i="19" s="1"/>
  <c r="X18" i="38"/>
  <c r="Y18" i="38" s="1" a="1"/>
  <c r="Y18" i="38" s="1"/>
  <c r="H23" i="8"/>
  <c r="X25" i="38"/>
  <c r="Y25" i="38" s="1" a="1"/>
  <c r="Y25" i="38" s="1"/>
  <c r="H30" i="8"/>
  <c r="X27" i="38"/>
  <c r="Y27" i="38" s="1" a="1"/>
  <c r="Y27" i="38" s="1"/>
  <c r="H32" i="8"/>
  <c r="X15" i="38"/>
  <c r="Y15" i="38" s="1" a="1"/>
  <c r="Y15" i="38" s="1"/>
  <c r="H20" i="8"/>
  <c r="X28" i="38"/>
  <c r="Y28" i="38" s="1" a="1"/>
  <c r="Y28" i="38" s="1"/>
  <c r="H33" i="8"/>
  <c r="AZ8" i="37"/>
  <c r="BF43" i="37"/>
  <c r="F30" i="30"/>
  <c r="G30" i="30" s="1"/>
  <c r="F30" i="14"/>
  <c r="G30" i="14" s="1"/>
  <c r="F30" i="3"/>
  <c r="G30" i="3" s="1"/>
  <c r="C31" i="19"/>
  <c r="C29" i="33" s="1"/>
  <c r="G35" i="8"/>
  <c r="C30" i="36"/>
  <c r="F30" i="32"/>
  <c r="G30" i="32" s="1"/>
  <c r="C33" i="12"/>
  <c r="E33" i="12" s="1"/>
  <c r="F14" i="31"/>
  <c r="G14" i="31" s="1"/>
  <c r="F14" i="30"/>
  <c r="G14" i="30" s="1"/>
  <c r="F14" i="28"/>
  <c r="G14" i="28" s="1"/>
  <c r="C17" i="13" s="1"/>
  <c r="E17" i="13" s="1"/>
  <c r="F14" i="32"/>
  <c r="G14" i="32" s="1"/>
  <c r="C15" i="19"/>
  <c r="C13" i="33" s="1"/>
  <c r="F14" i="29"/>
  <c r="G14" i="29" s="1"/>
  <c r="C17" i="12"/>
  <c r="E17" i="12" s="1"/>
  <c r="G19" i="8"/>
  <c r="F14" i="14"/>
  <c r="G14" i="14" s="1"/>
  <c r="F14" i="3"/>
  <c r="G14" i="3" s="1"/>
  <c r="C9" i="36"/>
  <c r="F9" i="30"/>
  <c r="G9" i="30" s="1"/>
  <c r="C12" i="12"/>
  <c r="E12" i="12" s="1"/>
  <c r="F30" i="28"/>
  <c r="G30" i="28" s="1"/>
  <c r="C33" i="13" s="1"/>
  <c r="E33" i="13" s="1"/>
  <c r="F30" i="29"/>
  <c r="G30" i="29" s="1"/>
  <c r="AA22" i="1"/>
  <c r="C10" i="19"/>
  <c r="C8" i="33" s="1"/>
  <c r="AA38" i="1"/>
  <c r="F9" i="3"/>
  <c r="G9" i="3" s="1"/>
  <c r="AA15" i="1"/>
  <c r="F7" i="30"/>
  <c r="G7" i="30" s="1"/>
  <c r="F7" i="29"/>
  <c r="G7" i="29" s="1"/>
  <c r="F7" i="14"/>
  <c r="G7" i="14" s="1"/>
  <c r="C7" i="36"/>
  <c r="F7" i="32"/>
  <c r="G7" i="32" s="1"/>
  <c r="F7" i="3"/>
  <c r="G7" i="3" s="1"/>
  <c r="C10" i="12"/>
  <c r="E10" i="12" s="1"/>
  <c r="F7" i="31"/>
  <c r="G7" i="31" s="1"/>
  <c r="G12" i="8"/>
  <c r="C8" i="19"/>
  <c r="C6" i="33" s="1"/>
  <c r="F7" i="28"/>
  <c r="G7" i="28" s="1"/>
  <c r="C10" i="13" s="1"/>
  <c r="E10" i="13" s="1"/>
  <c r="F9" i="28"/>
  <c r="G9" i="28" s="1"/>
  <c r="C12" i="13" s="1"/>
  <c r="E12" i="13" s="1"/>
  <c r="F9" i="32"/>
  <c r="G9" i="32" s="1"/>
  <c r="F9" i="29"/>
  <c r="G9" i="29" s="1"/>
  <c r="F9" i="31"/>
  <c r="G9" i="31" s="1"/>
  <c r="F9" i="14"/>
  <c r="G9" i="14" s="1"/>
  <c r="AA17" i="1"/>
  <c r="J26" i="40"/>
  <c r="E20" i="25" s="1"/>
  <c r="D20" i="25"/>
  <c r="X6" i="38"/>
  <c r="Y6" i="38" s="1" a="1"/>
  <c r="Y6" i="38" s="1"/>
  <c r="I40" i="8"/>
  <c r="F36" i="19" s="1"/>
  <c r="A15" i="30"/>
  <c r="A16" i="19"/>
  <c r="A15" i="14"/>
  <c r="A15" i="3"/>
  <c r="A20" i="20"/>
  <c r="A18" i="12"/>
  <c r="A18" i="13"/>
  <c r="A14" i="25"/>
  <c r="A20" i="8"/>
  <c r="A15" i="38" s="1"/>
  <c r="A15" i="31"/>
  <c r="A14" i="33"/>
  <c r="A18" i="37" s="1"/>
  <c r="A15" i="36"/>
  <c r="A20" i="42" s="1"/>
  <c r="B40" i="43" s="1"/>
  <c r="A15" i="29"/>
  <c r="A15" i="28"/>
  <c r="A15" i="32"/>
  <c r="E21" i="13"/>
  <c r="E13" i="13"/>
  <c r="E15" i="13"/>
  <c r="E20" i="13"/>
  <c r="E41" i="13"/>
  <c r="E19" i="13"/>
  <c r="E24" i="13"/>
  <c r="E31" i="13"/>
  <c r="E26" i="13"/>
  <c r="E39" i="13"/>
  <c r="E34" i="13"/>
  <c r="E30" i="13"/>
  <c r="E35" i="13"/>
  <c r="E23" i="13"/>
  <c r="E18" i="13"/>
  <c r="E37" i="13"/>
  <c r="E28" i="13"/>
  <c r="E25" i="13"/>
  <c r="E16" i="13"/>
  <c r="E22" i="13"/>
  <c r="E36" i="13"/>
  <c r="E16" i="33"/>
  <c r="E20" i="33"/>
  <c r="E29" i="13"/>
  <c r="E32" i="13"/>
  <c r="E9" i="13"/>
  <c r="E38" i="13"/>
  <c r="E40" i="13"/>
  <c r="E27" i="13"/>
  <c r="E14" i="13"/>
  <c r="X30" i="38" l="1"/>
  <c r="Y30" i="38" s="1" a="1"/>
  <c r="Y30" i="38" s="1"/>
  <c r="H35" i="8"/>
  <c r="X7" i="38"/>
  <c r="Y7" i="38" s="1" a="1"/>
  <c r="Y7" i="38" s="1"/>
  <c r="H12" i="8"/>
  <c r="X14" i="38"/>
  <c r="Y14" i="38" s="1" a="1"/>
  <c r="Y14" i="38" s="1"/>
  <c r="H19" i="8"/>
  <c r="BF8" i="37"/>
  <c r="BL43" i="37"/>
  <c r="G39" i="30"/>
  <c r="H8" i="30" s="1"/>
  <c r="L9" i="19" s="1"/>
  <c r="D24" i="37"/>
  <c r="D20" i="37"/>
  <c r="G39" i="32"/>
  <c r="H7" i="32" s="1"/>
  <c r="N8" i="19" s="1"/>
  <c r="D38" i="33" a="1"/>
  <c r="D38" i="33" s="1"/>
  <c r="G39" i="28"/>
  <c r="H28" i="28" s="1"/>
  <c r="E29" i="19" s="1"/>
  <c r="E42" i="12"/>
  <c r="F39" i="12" s="1"/>
  <c r="H37" i="19" s="1"/>
  <c r="G39" i="3"/>
  <c r="H15" i="3" s="1"/>
  <c r="D16" i="19" s="1"/>
  <c r="G39" i="29"/>
  <c r="H34" i="29" s="1"/>
  <c r="K35" i="19" s="1"/>
  <c r="G39" i="14"/>
  <c r="H21" i="14" s="1"/>
  <c r="J22" i="19" s="1"/>
  <c r="G39" i="31"/>
  <c r="H30" i="31" s="1"/>
  <c r="M31" i="19" s="1"/>
  <c r="E42" i="13"/>
  <c r="F31" i="13" s="1"/>
  <c r="I29" i="19" s="1"/>
  <c r="A19" i="13"/>
  <c r="A16" i="36"/>
  <c r="A21" i="42" s="1"/>
  <c r="B41" i="43" s="1"/>
  <c r="A15" i="33"/>
  <c r="A19" i="37" s="1"/>
  <c r="A16" i="28"/>
  <c r="A15" i="25"/>
  <c r="A16" i="32"/>
  <c r="A17" i="19"/>
  <c r="A16" i="31"/>
  <c r="A21" i="8"/>
  <c r="A16" i="38" s="1"/>
  <c r="A16" i="3"/>
  <c r="A19" i="12"/>
  <c r="A21" i="20"/>
  <c r="A16" i="29"/>
  <c r="A16" i="30"/>
  <c r="A16" i="14"/>
  <c r="E33" i="33" l="1"/>
  <c r="D37" i="37" s="1"/>
  <c r="E34" i="33"/>
  <c r="D38" i="37" s="1"/>
  <c r="E35" i="33"/>
  <c r="D39" i="37" s="1"/>
  <c r="Y39" i="38"/>
  <c r="H44" i="8"/>
  <c r="I23" i="8" s="1"/>
  <c r="F19" i="19" s="1"/>
  <c r="BR43" i="37"/>
  <c r="BL8" i="37"/>
  <c r="H30" i="30"/>
  <c r="L31" i="19" s="1"/>
  <c r="H10" i="30"/>
  <c r="L11" i="19" s="1"/>
  <c r="H37" i="30"/>
  <c r="L38" i="19" s="1"/>
  <c r="H28" i="30"/>
  <c r="L29" i="19" s="1"/>
  <c r="H38" i="30"/>
  <c r="L39" i="19" s="1"/>
  <c r="H14" i="30"/>
  <c r="L15" i="19" s="1"/>
  <c r="H17" i="30"/>
  <c r="L18" i="19" s="1"/>
  <c r="H24" i="30"/>
  <c r="L25" i="19" s="1"/>
  <c r="H16" i="30"/>
  <c r="L17" i="19" s="1"/>
  <c r="H9" i="30"/>
  <c r="L10" i="19" s="1"/>
  <c r="H21" i="30"/>
  <c r="L22" i="19" s="1"/>
  <c r="H20" i="30"/>
  <c r="L21" i="19" s="1"/>
  <c r="H34" i="30"/>
  <c r="L35" i="19" s="1"/>
  <c r="H22" i="30"/>
  <c r="L23" i="19" s="1"/>
  <c r="H18" i="30"/>
  <c r="L19" i="19" s="1"/>
  <c r="H26" i="30"/>
  <c r="L27" i="19" s="1"/>
  <c r="H7" i="30"/>
  <c r="L8" i="19" s="1"/>
  <c r="H36" i="30"/>
  <c r="L37" i="19" s="1"/>
  <c r="H23" i="30"/>
  <c r="L24" i="19" s="1"/>
  <c r="H33" i="30"/>
  <c r="L34" i="19" s="1"/>
  <c r="H29" i="30"/>
  <c r="L30" i="19" s="1"/>
  <c r="H12" i="30"/>
  <c r="L13" i="19" s="1"/>
  <c r="H35" i="30"/>
  <c r="L36" i="19" s="1"/>
  <c r="H31" i="30"/>
  <c r="L32" i="19" s="1"/>
  <c r="H19" i="30"/>
  <c r="L20" i="19" s="1"/>
  <c r="H27" i="30"/>
  <c r="L28" i="19" s="1"/>
  <c r="H13" i="30"/>
  <c r="L14" i="19" s="1"/>
  <c r="H25" i="30"/>
  <c r="L26" i="19" s="1"/>
  <c r="H6" i="30"/>
  <c r="L7" i="19" s="1"/>
  <c r="H11" i="30"/>
  <c r="L12" i="19" s="1"/>
  <c r="H15" i="30"/>
  <c r="L16" i="19" s="1"/>
  <c r="H32" i="30"/>
  <c r="L33" i="19" s="1"/>
  <c r="H21" i="32"/>
  <c r="N22" i="19" s="1"/>
  <c r="H6" i="32"/>
  <c r="N7" i="19" s="1"/>
  <c r="H35" i="32"/>
  <c r="N36" i="19" s="1"/>
  <c r="H18" i="32"/>
  <c r="N19" i="19" s="1"/>
  <c r="H8" i="32"/>
  <c r="N9" i="19" s="1"/>
  <c r="H14" i="32"/>
  <c r="N15" i="19" s="1"/>
  <c r="F24" i="12"/>
  <c r="H22" i="19" s="1"/>
  <c r="F38" i="12"/>
  <c r="H36" i="19" s="1"/>
  <c r="E29" i="33"/>
  <c r="D33" i="37" s="1"/>
  <c r="E21" i="33"/>
  <c r="E19" i="33"/>
  <c r="D23" i="37" s="1"/>
  <c r="E14" i="33"/>
  <c r="D18" i="37" s="1"/>
  <c r="E13" i="33"/>
  <c r="E15" i="33"/>
  <c r="D19" i="37" s="1"/>
  <c r="E17" i="33"/>
  <c r="D21" i="37" s="1"/>
  <c r="H20" i="32"/>
  <c r="N21" i="19" s="1"/>
  <c r="H33" i="32"/>
  <c r="N34" i="19" s="1"/>
  <c r="E12" i="33"/>
  <c r="F21" i="12"/>
  <c r="H19" i="19" s="1"/>
  <c r="H9" i="32"/>
  <c r="N10" i="19" s="1"/>
  <c r="H23" i="32"/>
  <c r="N24" i="19" s="1"/>
  <c r="H38" i="28"/>
  <c r="E39" i="19" s="1"/>
  <c r="H26" i="28"/>
  <c r="E27" i="19" s="1"/>
  <c r="F12" i="12"/>
  <c r="H10" i="19" s="1"/>
  <c r="F22" i="12"/>
  <c r="H20" i="19" s="1"/>
  <c r="H35" i="28"/>
  <c r="E36" i="19" s="1"/>
  <c r="H12" i="28"/>
  <c r="E13" i="19" s="1"/>
  <c r="H21" i="28"/>
  <c r="E22" i="19" s="1"/>
  <c r="F31" i="12"/>
  <c r="H29" i="19" s="1"/>
  <c r="H29" i="28"/>
  <c r="E30" i="19" s="1"/>
  <c r="H37" i="28"/>
  <c r="E38" i="19" s="1"/>
  <c r="F35" i="12"/>
  <c r="H33" i="19" s="1"/>
  <c r="F19" i="12"/>
  <c r="H17" i="19" s="1"/>
  <c r="F17" i="12"/>
  <c r="H15" i="19" s="1"/>
  <c r="F40" i="12"/>
  <c r="H38" i="19" s="1"/>
  <c r="F13" i="12"/>
  <c r="H11" i="19" s="1"/>
  <c r="F15" i="12"/>
  <c r="H13" i="19" s="1"/>
  <c r="F9" i="12"/>
  <c r="H7" i="19" s="1"/>
  <c r="F25" i="12"/>
  <c r="H23" i="19" s="1"/>
  <c r="F37" i="12"/>
  <c r="H35" i="19" s="1"/>
  <c r="H20" i="3"/>
  <c r="D21" i="19" s="1"/>
  <c r="H38" i="3"/>
  <c r="D39" i="19" s="1"/>
  <c r="E18" i="33"/>
  <c r="H17" i="28"/>
  <c r="E18" i="19" s="1"/>
  <c r="H33" i="28"/>
  <c r="E34" i="19" s="1"/>
  <c r="H18" i="28"/>
  <c r="E19" i="19" s="1"/>
  <c r="H30" i="28"/>
  <c r="E31" i="19" s="1"/>
  <c r="H19" i="28"/>
  <c r="E20" i="19" s="1"/>
  <c r="H7" i="28"/>
  <c r="E8" i="19" s="1"/>
  <c r="H9" i="28"/>
  <c r="E10" i="19" s="1"/>
  <c r="H6" i="28"/>
  <c r="H16" i="28"/>
  <c r="E17" i="19" s="1"/>
  <c r="H32" i="28"/>
  <c r="E33" i="19" s="1"/>
  <c r="H10" i="28"/>
  <c r="E11" i="19" s="1"/>
  <c r="H13" i="28"/>
  <c r="E14" i="19" s="1"/>
  <c r="H8" i="28"/>
  <c r="E9" i="19" s="1"/>
  <c r="H20" i="28"/>
  <c r="E21" i="19" s="1"/>
  <c r="H34" i="28"/>
  <c r="E35" i="19" s="1"/>
  <c r="H14" i="28"/>
  <c r="E15" i="19" s="1"/>
  <c r="H11" i="28"/>
  <c r="E12" i="19" s="1"/>
  <c r="H22" i="28"/>
  <c r="E23" i="19" s="1"/>
  <c r="H25" i="28"/>
  <c r="E26" i="19" s="1"/>
  <c r="H15" i="28"/>
  <c r="E16" i="19" s="1"/>
  <c r="H24" i="28"/>
  <c r="E25" i="19" s="1"/>
  <c r="H36" i="28"/>
  <c r="E37" i="19" s="1"/>
  <c r="H27" i="31"/>
  <c r="M28" i="19" s="1"/>
  <c r="H14" i="29"/>
  <c r="K15" i="19" s="1"/>
  <c r="H29" i="32"/>
  <c r="N30" i="19" s="1"/>
  <c r="E11" i="33"/>
  <c r="E24" i="33"/>
  <c r="E8" i="33"/>
  <c r="H22" i="31"/>
  <c r="M23" i="19" s="1"/>
  <c r="E28" i="33"/>
  <c r="H27" i="28"/>
  <c r="E28" i="19" s="1"/>
  <c r="H10" i="32"/>
  <c r="N11" i="19" s="1"/>
  <c r="H11" i="32"/>
  <c r="N12" i="19" s="1"/>
  <c r="H23" i="28"/>
  <c r="E24" i="19" s="1"/>
  <c r="H38" i="32"/>
  <c r="N39" i="19" s="1"/>
  <c r="H31" i="28"/>
  <c r="E32" i="19" s="1"/>
  <c r="H29" i="31"/>
  <c r="M30" i="19" s="1"/>
  <c r="E25" i="33"/>
  <c r="H25" i="32"/>
  <c r="N26" i="19" s="1"/>
  <c r="E23" i="33"/>
  <c r="H23" i="31"/>
  <c r="M24" i="19" s="1"/>
  <c r="E10" i="33"/>
  <c r="E22" i="33"/>
  <c r="E26" i="33"/>
  <c r="E5" i="33"/>
  <c r="E7" i="33"/>
  <c r="E31" i="33"/>
  <c r="E32" i="33"/>
  <c r="E30" i="33"/>
  <c r="E9" i="33"/>
  <c r="E6" i="33"/>
  <c r="E27" i="33"/>
  <c r="H19" i="29"/>
  <c r="K20" i="19" s="1"/>
  <c r="H11" i="31"/>
  <c r="M12" i="19" s="1"/>
  <c r="H6" i="31"/>
  <c r="M7" i="19" s="1"/>
  <c r="H17" i="32"/>
  <c r="N18" i="19" s="1"/>
  <c r="H13" i="32"/>
  <c r="N14" i="19" s="1"/>
  <c r="H31" i="32"/>
  <c r="N32" i="19" s="1"/>
  <c r="H15" i="32"/>
  <c r="N16" i="19" s="1"/>
  <c r="H31" i="29"/>
  <c r="K32" i="19" s="1"/>
  <c r="H8" i="3"/>
  <c r="D9" i="19" s="1"/>
  <c r="H26" i="29"/>
  <c r="K27" i="19" s="1"/>
  <c r="H7" i="29"/>
  <c r="K8" i="19" s="1"/>
  <c r="H27" i="32"/>
  <c r="N28" i="19" s="1"/>
  <c r="H36" i="31"/>
  <c r="M37" i="19" s="1"/>
  <c r="H30" i="32"/>
  <c r="N31" i="19" s="1"/>
  <c r="H22" i="32"/>
  <c r="N23" i="19" s="1"/>
  <c r="H32" i="32"/>
  <c r="N33" i="19" s="1"/>
  <c r="H28" i="32"/>
  <c r="N29" i="19" s="1"/>
  <c r="H34" i="3"/>
  <c r="D35" i="19" s="1"/>
  <c r="H24" i="32"/>
  <c r="N25" i="19" s="1"/>
  <c r="H12" i="32"/>
  <c r="N13" i="19" s="1"/>
  <c r="H36" i="32"/>
  <c r="N37" i="19" s="1"/>
  <c r="H37" i="32"/>
  <c r="N38" i="19" s="1"/>
  <c r="H18" i="14"/>
  <c r="J19" i="19" s="1"/>
  <c r="H16" i="32"/>
  <c r="N17" i="19" s="1"/>
  <c r="H26" i="32"/>
  <c r="N27" i="19" s="1"/>
  <c r="H8" i="31"/>
  <c r="M9" i="19" s="1"/>
  <c r="H34" i="32"/>
  <c r="N35" i="19" s="1"/>
  <c r="H19" i="32"/>
  <c r="N20" i="19" s="1"/>
  <c r="H9" i="14"/>
  <c r="J10" i="19" s="1"/>
  <c r="F28" i="12"/>
  <c r="H26" i="19" s="1"/>
  <c r="F26" i="12"/>
  <c r="H24" i="19" s="1"/>
  <c r="F16" i="12"/>
  <c r="H14" i="19" s="1"/>
  <c r="F27" i="12"/>
  <c r="H25" i="19" s="1"/>
  <c r="F30" i="12"/>
  <c r="H28" i="19" s="1"/>
  <c r="F14" i="12"/>
  <c r="H12" i="19" s="1"/>
  <c r="F41" i="12"/>
  <c r="H39" i="19" s="1"/>
  <c r="H17" i="29"/>
  <c r="K18" i="19" s="1"/>
  <c r="H10" i="29"/>
  <c r="K11" i="19" s="1"/>
  <c r="H22" i="29"/>
  <c r="K23" i="19" s="1"/>
  <c r="H7" i="14"/>
  <c r="J8" i="19" s="1"/>
  <c r="H35" i="29"/>
  <c r="K36" i="19" s="1"/>
  <c r="H25" i="29"/>
  <c r="K26" i="19" s="1"/>
  <c r="H38" i="29"/>
  <c r="K39" i="19" s="1"/>
  <c r="H34" i="14"/>
  <c r="J35" i="19" s="1"/>
  <c r="H20" i="29"/>
  <c r="K21" i="19" s="1"/>
  <c r="H6" i="29"/>
  <c r="K7" i="19" s="1"/>
  <c r="H21" i="29"/>
  <c r="K22" i="19" s="1"/>
  <c r="H15" i="29"/>
  <c r="K16" i="19" s="1"/>
  <c r="H13" i="14"/>
  <c r="J14" i="19" s="1"/>
  <c r="H30" i="3"/>
  <c r="D31" i="19" s="1"/>
  <c r="H22" i="3"/>
  <c r="D23" i="19" s="1"/>
  <c r="H14" i="31"/>
  <c r="M15" i="19" s="1"/>
  <c r="H10" i="31"/>
  <c r="M11" i="19" s="1"/>
  <c r="H28" i="3"/>
  <c r="D29" i="19" s="1"/>
  <c r="H26" i="3"/>
  <c r="D27" i="19" s="1"/>
  <c r="H7" i="3"/>
  <c r="D8" i="19" s="1"/>
  <c r="H38" i="31"/>
  <c r="M39" i="19" s="1"/>
  <c r="H19" i="3"/>
  <c r="D20" i="19" s="1"/>
  <c r="H23" i="3"/>
  <c r="D24" i="19" s="1"/>
  <c r="H9" i="3"/>
  <c r="D10" i="19" s="1"/>
  <c r="H36" i="3"/>
  <c r="D37" i="19" s="1"/>
  <c r="H32" i="3"/>
  <c r="D33" i="19" s="1"/>
  <c r="F20" i="12"/>
  <c r="H18" i="19" s="1"/>
  <c r="F18" i="12"/>
  <c r="H16" i="19" s="1"/>
  <c r="F32" i="12"/>
  <c r="H30" i="19" s="1"/>
  <c r="F29" i="12"/>
  <c r="H27" i="19" s="1"/>
  <c r="F11" i="12"/>
  <c r="H9" i="19" s="1"/>
  <c r="F34" i="12"/>
  <c r="H32" i="19" s="1"/>
  <c r="F36" i="12"/>
  <c r="H34" i="19" s="1"/>
  <c r="F23" i="12"/>
  <c r="H21" i="19" s="1"/>
  <c r="F33" i="12"/>
  <c r="H31" i="19" s="1"/>
  <c r="F10" i="12"/>
  <c r="H8" i="19" s="1"/>
  <c r="H9" i="31"/>
  <c r="M10" i="19" s="1"/>
  <c r="H18" i="31"/>
  <c r="M19" i="19" s="1"/>
  <c r="H11" i="3"/>
  <c r="D12" i="19" s="1"/>
  <c r="H37" i="3"/>
  <c r="D38" i="19" s="1"/>
  <c r="H34" i="31"/>
  <c r="M35" i="19" s="1"/>
  <c r="H30" i="29"/>
  <c r="K31" i="19" s="1"/>
  <c r="H7" i="31"/>
  <c r="M8" i="19" s="1"/>
  <c r="H21" i="31"/>
  <c r="M22" i="19" s="1"/>
  <c r="H25" i="31"/>
  <c r="M26" i="19" s="1"/>
  <c r="H18" i="3"/>
  <c r="D19" i="19" s="1"/>
  <c r="H28" i="31"/>
  <c r="M29" i="19" s="1"/>
  <c r="H37" i="31"/>
  <c r="M38" i="19" s="1"/>
  <c r="H12" i="31"/>
  <c r="M13" i="19" s="1"/>
  <c r="H31" i="31"/>
  <c r="M32" i="19" s="1"/>
  <c r="H21" i="3"/>
  <c r="D22" i="19" s="1"/>
  <c r="H24" i="31"/>
  <c r="M25" i="19" s="1"/>
  <c r="H15" i="31"/>
  <c r="M16" i="19" s="1"/>
  <c r="H17" i="3"/>
  <c r="D18" i="19" s="1"/>
  <c r="H33" i="31"/>
  <c r="M34" i="19" s="1"/>
  <c r="H26" i="31"/>
  <c r="M27" i="19" s="1"/>
  <c r="H16" i="3"/>
  <c r="D17" i="19" s="1"/>
  <c r="H6" i="3"/>
  <c r="D7" i="19" s="1"/>
  <c r="H24" i="29"/>
  <c r="K25" i="19" s="1"/>
  <c r="H27" i="3"/>
  <c r="D28" i="19" s="1"/>
  <c r="H24" i="3"/>
  <c r="D25" i="19" s="1"/>
  <c r="H14" i="3"/>
  <c r="D15" i="19" s="1"/>
  <c r="H12" i="3"/>
  <c r="D13" i="19" s="1"/>
  <c r="H25" i="14"/>
  <c r="J26" i="19" s="1"/>
  <c r="H27" i="14"/>
  <c r="J28" i="19" s="1"/>
  <c r="H13" i="31"/>
  <c r="M14" i="19" s="1"/>
  <c r="H35" i="31"/>
  <c r="M36" i="19" s="1"/>
  <c r="H25" i="3"/>
  <c r="D26" i="19" s="1"/>
  <c r="H35" i="3"/>
  <c r="D36" i="19" s="1"/>
  <c r="H20" i="31"/>
  <c r="M21" i="19" s="1"/>
  <c r="H17" i="31"/>
  <c r="M18" i="19" s="1"/>
  <c r="H29" i="3"/>
  <c r="D30" i="19" s="1"/>
  <c r="H19" i="31"/>
  <c r="M20" i="19" s="1"/>
  <c r="H16" i="31"/>
  <c r="M17" i="19" s="1"/>
  <c r="H32" i="31"/>
  <c r="M33" i="19" s="1"/>
  <c r="H10" i="3"/>
  <c r="D11" i="19" s="1"/>
  <c r="H31" i="3"/>
  <c r="D32" i="19" s="1"/>
  <c r="H11" i="29"/>
  <c r="K12" i="19" s="1"/>
  <c r="H29" i="29"/>
  <c r="K30" i="19" s="1"/>
  <c r="H13" i="3"/>
  <c r="D14" i="19" s="1"/>
  <c r="H33" i="3"/>
  <c r="D34" i="19" s="1"/>
  <c r="H29" i="14"/>
  <c r="J30" i="19" s="1"/>
  <c r="H22" i="14"/>
  <c r="J23" i="19" s="1"/>
  <c r="H26" i="14"/>
  <c r="J27" i="19" s="1"/>
  <c r="H8" i="29"/>
  <c r="K9" i="19" s="1"/>
  <c r="H36" i="29"/>
  <c r="K37" i="19" s="1"/>
  <c r="H30" i="14"/>
  <c r="J31" i="19" s="1"/>
  <c r="H20" i="14"/>
  <c r="J21" i="19" s="1"/>
  <c r="H33" i="14"/>
  <c r="J34" i="19" s="1"/>
  <c r="H17" i="14"/>
  <c r="J18" i="19" s="1"/>
  <c r="H16" i="14"/>
  <c r="J17" i="19" s="1"/>
  <c r="H32" i="29"/>
  <c r="K33" i="19" s="1"/>
  <c r="H12" i="29"/>
  <c r="K13" i="19" s="1"/>
  <c r="H23" i="29"/>
  <c r="K24" i="19" s="1"/>
  <c r="H35" i="14"/>
  <c r="J36" i="19" s="1"/>
  <c r="H9" i="29"/>
  <c r="K10" i="19" s="1"/>
  <c r="H32" i="14"/>
  <c r="J33" i="19" s="1"/>
  <c r="H13" i="29"/>
  <c r="K14" i="19" s="1"/>
  <c r="H33" i="29"/>
  <c r="K34" i="19" s="1"/>
  <c r="H28" i="14"/>
  <c r="J29" i="19" s="1"/>
  <c r="H37" i="29"/>
  <c r="K38" i="19" s="1"/>
  <c r="H14" i="14"/>
  <c r="J15" i="19" s="1"/>
  <c r="H27" i="29"/>
  <c r="K28" i="19" s="1"/>
  <c r="H19" i="14"/>
  <c r="J20" i="19" s="1"/>
  <c r="H28" i="29"/>
  <c r="K29" i="19" s="1"/>
  <c r="H18" i="29"/>
  <c r="K19" i="19" s="1"/>
  <c r="H10" i="14"/>
  <c r="J11" i="19" s="1"/>
  <c r="H11" i="14"/>
  <c r="J12" i="19" s="1"/>
  <c r="H31" i="14"/>
  <c r="J32" i="19" s="1"/>
  <c r="H15" i="14"/>
  <c r="J16" i="19" s="1"/>
  <c r="H24" i="14"/>
  <c r="J25" i="19" s="1"/>
  <c r="H8" i="14"/>
  <c r="J9" i="19" s="1"/>
  <c r="H12" i="14"/>
  <c r="J13" i="19" s="1"/>
  <c r="H38" i="14"/>
  <c r="J39" i="19" s="1"/>
  <c r="H6" i="14"/>
  <c r="J7" i="19" s="1"/>
  <c r="H36" i="14"/>
  <c r="J37" i="19" s="1"/>
  <c r="H23" i="14"/>
  <c r="J24" i="19" s="1"/>
  <c r="H16" i="29"/>
  <c r="K17" i="19" s="1"/>
  <c r="H37" i="14"/>
  <c r="J38" i="19" s="1"/>
  <c r="F27" i="13"/>
  <c r="I25" i="19" s="1"/>
  <c r="F15" i="13"/>
  <c r="I13" i="19" s="1"/>
  <c r="F34" i="13"/>
  <c r="I32" i="19" s="1"/>
  <c r="F10" i="13"/>
  <c r="I8" i="19" s="1"/>
  <c r="F39" i="13"/>
  <c r="I37" i="19" s="1"/>
  <c r="F41" i="13"/>
  <c r="I39" i="19" s="1"/>
  <c r="F22" i="13"/>
  <c r="I20" i="19" s="1"/>
  <c r="F21" i="13"/>
  <c r="I19" i="19" s="1"/>
  <c r="F25" i="13"/>
  <c r="I23" i="19" s="1"/>
  <c r="F28" i="13"/>
  <c r="I26" i="19" s="1"/>
  <c r="F32" i="13"/>
  <c r="I30" i="19" s="1"/>
  <c r="F16" i="13"/>
  <c r="I14" i="19" s="1"/>
  <c r="F19" i="13"/>
  <c r="I17" i="19" s="1"/>
  <c r="F24" i="13"/>
  <c r="I22" i="19" s="1"/>
  <c r="O22" i="19" s="1"/>
  <c r="P22" i="19" s="1"/>
  <c r="C26" i="20" s="1"/>
  <c r="E26" i="20" s="1"/>
  <c r="H26" i="20" s="1"/>
  <c r="F33" i="13"/>
  <c r="I31" i="19" s="1"/>
  <c r="F11" i="13"/>
  <c r="I9" i="19" s="1"/>
  <c r="F30" i="13"/>
  <c r="I28" i="19" s="1"/>
  <c r="F40" i="13"/>
  <c r="I38" i="19" s="1"/>
  <c r="A17" i="30"/>
  <c r="A18" i="19"/>
  <c r="A17" i="32"/>
  <c r="A17" i="36"/>
  <c r="A22" i="42" s="1"/>
  <c r="B42" i="43" s="1"/>
  <c r="A22" i="20"/>
  <c r="A17" i="29"/>
  <c r="A20" i="12"/>
  <c r="A17" i="14"/>
  <c r="A17" i="31"/>
  <c r="A22" i="8"/>
  <c r="A17" i="38" s="1"/>
  <c r="A17" i="28"/>
  <c r="A16" i="25"/>
  <c r="A17" i="3"/>
  <c r="A20" i="13"/>
  <c r="A16" i="33"/>
  <c r="A20" i="37" s="1"/>
  <c r="F29" i="13"/>
  <c r="I27" i="19" s="1"/>
  <c r="F13" i="13"/>
  <c r="I11" i="19" s="1"/>
  <c r="F35" i="13"/>
  <c r="I33" i="19" s="1"/>
  <c r="F23" i="13"/>
  <c r="I21" i="19" s="1"/>
  <c r="F36" i="13"/>
  <c r="I34" i="19" s="1"/>
  <c r="F38" i="13"/>
  <c r="I36" i="19" s="1"/>
  <c r="F14" i="13"/>
  <c r="I12" i="19" s="1"/>
  <c r="F26" i="13"/>
  <c r="I24" i="19" s="1"/>
  <c r="F12" i="13"/>
  <c r="I10" i="19" s="1"/>
  <c r="F20" i="13"/>
  <c r="I18" i="19" s="1"/>
  <c r="F37" i="13"/>
  <c r="I35" i="19" s="1"/>
  <c r="F18" i="13"/>
  <c r="I16" i="19" s="1"/>
  <c r="F17" i="13"/>
  <c r="I15" i="19" s="1"/>
  <c r="F9" i="13"/>
  <c r="Z8" i="38" l="1"/>
  <c r="G9" i="19" s="1"/>
  <c r="Z27" i="38"/>
  <c r="G28" i="19" s="1"/>
  <c r="Z28" i="38"/>
  <c r="G29" i="19" s="1"/>
  <c r="Z11" i="38"/>
  <c r="G12" i="19" s="1"/>
  <c r="Z34" i="38"/>
  <c r="G35" i="19" s="1"/>
  <c r="Z30" i="38"/>
  <c r="G31" i="19" s="1"/>
  <c r="Z14" i="38"/>
  <c r="G15" i="19" s="1"/>
  <c r="Z32" i="38"/>
  <c r="G33" i="19" s="1"/>
  <c r="Z17" i="38"/>
  <c r="G18" i="19" s="1"/>
  <c r="O18" i="19" s="1"/>
  <c r="P18" i="19" s="1"/>
  <c r="C22" i="20" s="1"/>
  <c r="E22" i="20" s="1"/>
  <c r="H22" i="20" s="1"/>
  <c r="Z22" i="38"/>
  <c r="G23" i="19" s="1"/>
  <c r="Z7" i="38"/>
  <c r="G8" i="19" s="1"/>
  <c r="Z33" i="38"/>
  <c r="G34" i="19" s="1"/>
  <c r="Z36" i="38"/>
  <c r="G37" i="19" s="1"/>
  <c r="O37" i="19" s="1"/>
  <c r="P37" i="19" s="1"/>
  <c r="C41" i="20" s="1"/>
  <c r="E41" i="20" s="1"/>
  <c r="H41" i="20" s="1"/>
  <c r="Z13" i="38"/>
  <c r="G14" i="19" s="1"/>
  <c r="Z29" i="38"/>
  <c r="G30" i="19" s="1"/>
  <c r="Z38" i="38"/>
  <c r="G39" i="19" s="1"/>
  <c r="Z16" i="38"/>
  <c r="G17" i="19" s="1"/>
  <c r="Z10" i="38"/>
  <c r="G11" i="19" s="1"/>
  <c r="Z15" i="38"/>
  <c r="G16" i="19" s="1"/>
  <c r="Z23" i="38"/>
  <c r="G24" i="19" s="1"/>
  <c r="Z26" i="38"/>
  <c r="G27" i="19" s="1"/>
  <c r="Z9" i="38"/>
  <c r="G10" i="19" s="1"/>
  <c r="Z21" i="38"/>
  <c r="G22" i="19" s="1"/>
  <c r="Z20" i="38"/>
  <c r="G21" i="19" s="1"/>
  <c r="Z35" i="38"/>
  <c r="G36" i="19" s="1"/>
  <c r="O36" i="19" s="1"/>
  <c r="P36" i="19" s="1"/>
  <c r="C40" i="20" s="1"/>
  <c r="E40" i="20" s="1"/>
  <c r="H40" i="20" s="1"/>
  <c r="Z31" i="38"/>
  <c r="G32" i="19" s="1"/>
  <c r="Z18" i="38"/>
  <c r="G19" i="19" s="1"/>
  <c r="O19" i="19" s="1"/>
  <c r="P19" i="19" s="1"/>
  <c r="C23" i="20" s="1"/>
  <c r="E23" i="20" s="1"/>
  <c r="H23" i="20" s="1"/>
  <c r="Z19" i="38"/>
  <c r="G20" i="19" s="1"/>
  <c r="Z12" i="38"/>
  <c r="G13" i="19" s="1"/>
  <c r="Z24" i="38"/>
  <c r="G25" i="19" s="1"/>
  <c r="Z25" i="38"/>
  <c r="G26" i="19" s="1"/>
  <c r="Z37" i="38"/>
  <c r="G38" i="19" s="1"/>
  <c r="I21" i="8"/>
  <c r="F17" i="19" s="1"/>
  <c r="I25" i="8"/>
  <c r="F21" i="19" s="1"/>
  <c r="I37" i="8"/>
  <c r="F33" i="19" s="1"/>
  <c r="I39" i="8"/>
  <c r="F35" i="19" s="1"/>
  <c r="I16" i="8"/>
  <c r="F12" i="19" s="1"/>
  <c r="I31" i="8"/>
  <c r="F27" i="19" s="1"/>
  <c r="I14" i="8"/>
  <c r="F10" i="19" s="1"/>
  <c r="I18" i="8"/>
  <c r="F14" i="19" s="1"/>
  <c r="I29" i="8"/>
  <c r="F25" i="19" s="1"/>
  <c r="I35" i="8"/>
  <c r="F31" i="19" s="1"/>
  <c r="I15" i="8"/>
  <c r="F11" i="19" s="1"/>
  <c r="I20" i="8"/>
  <c r="F16" i="19" s="1"/>
  <c r="I28" i="8"/>
  <c r="F24" i="19" s="1"/>
  <c r="I13" i="8"/>
  <c r="F9" i="19" s="1"/>
  <c r="I17" i="8"/>
  <c r="F13" i="19" s="1"/>
  <c r="I24" i="8"/>
  <c r="F20" i="19" s="1"/>
  <c r="I11" i="8"/>
  <c r="F7" i="19" s="1"/>
  <c r="I32" i="8"/>
  <c r="F28" i="19" s="1"/>
  <c r="I38" i="8"/>
  <c r="F34" i="19" s="1"/>
  <c r="I19" i="8"/>
  <c r="F15" i="19" s="1"/>
  <c r="I36" i="8"/>
  <c r="F32" i="19" s="1"/>
  <c r="I27" i="8"/>
  <c r="F23" i="19" s="1"/>
  <c r="I12" i="8"/>
  <c r="F8" i="19" s="1"/>
  <c r="I30" i="8"/>
  <c r="F26" i="19" s="1"/>
  <c r="I34" i="8"/>
  <c r="F30" i="19" s="1"/>
  <c r="I33" i="8"/>
  <c r="F29" i="19" s="1"/>
  <c r="Z6" i="38"/>
  <c r="G7" i="19" s="1"/>
  <c r="BX43" i="37"/>
  <c r="BR8" i="37"/>
  <c r="L40" i="19"/>
  <c r="H39" i="30"/>
  <c r="D17" i="37"/>
  <c r="D25" i="37"/>
  <c r="D16" i="37"/>
  <c r="D22" i="37"/>
  <c r="E38" i="33"/>
  <c r="H39" i="28"/>
  <c r="E7" i="19"/>
  <c r="E40" i="19" s="1"/>
  <c r="D13" i="37"/>
  <c r="D11" i="37"/>
  <c r="D14" i="37"/>
  <c r="D29" i="37"/>
  <c r="D32" i="37"/>
  <c r="D15" i="37"/>
  <c r="D34" i="37"/>
  <c r="D9" i="37"/>
  <c r="D31" i="37"/>
  <c r="D36" i="37"/>
  <c r="D30" i="37"/>
  <c r="D27" i="37"/>
  <c r="D12" i="37"/>
  <c r="H40" i="19"/>
  <c r="D10" i="37"/>
  <c r="D35" i="37"/>
  <c r="D26" i="37"/>
  <c r="D28" i="37"/>
  <c r="N40" i="19"/>
  <c r="H39" i="32"/>
  <c r="H39" i="31"/>
  <c r="F42" i="12"/>
  <c r="M40" i="19"/>
  <c r="H39" i="3"/>
  <c r="D40" i="19"/>
  <c r="K40" i="19"/>
  <c r="H39" i="14"/>
  <c r="H39" i="29"/>
  <c r="J40" i="19"/>
  <c r="A21" i="13"/>
  <c r="A18" i="28"/>
  <c r="A23" i="8"/>
  <c r="A18" i="38" s="1"/>
  <c r="A17" i="33"/>
  <c r="A21" i="37" s="1"/>
  <c r="A18" i="32"/>
  <c r="A18" i="36"/>
  <c r="A23" i="42" s="1"/>
  <c r="B43" i="43" s="1"/>
  <c r="A21" i="12"/>
  <c r="A17" i="25"/>
  <c r="A19" i="19"/>
  <c r="A18" i="3"/>
  <c r="A18" i="30"/>
  <c r="A18" i="29"/>
  <c r="A18" i="31"/>
  <c r="A23" i="20"/>
  <c r="A18" i="14"/>
  <c r="I7" i="19"/>
  <c r="F42" i="13"/>
  <c r="O11" i="19" l="1"/>
  <c r="P11" i="19" s="1"/>
  <c r="C15" i="20" s="1"/>
  <c r="E15" i="20" s="1"/>
  <c r="H15" i="20" s="1"/>
  <c r="O31" i="19"/>
  <c r="P31" i="19" s="1"/>
  <c r="C35" i="20" s="1"/>
  <c r="E35" i="20" s="1"/>
  <c r="H35" i="20" s="1"/>
  <c r="O23" i="19"/>
  <c r="P23" i="19" s="1"/>
  <c r="C27" i="20" s="1"/>
  <c r="E27" i="20" s="1"/>
  <c r="H27" i="20" s="1"/>
  <c r="O21" i="19"/>
  <c r="P21" i="19" s="1"/>
  <c r="C25" i="20" s="1"/>
  <c r="E25" i="20" s="1"/>
  <c r="H25" i="20" s="1"/>
  <c r="O17" i="19"/>
  <c r="P17" i="19" s="1"/>
  <c r="C21" i="20" s="1"/>
  <c r="E21" i="20" s="1"/>
  <c r="H21" i="20" s="1"/>
  <c r="O12" i="19"/>
  <c r="P12" i="19" s="1"/>
  <c r="C16" i="20" s="1"/>
  <c r="E16" i="20" s="1"/>
  <c r="H16" i="20" s="1"/>
  <c r="O35" i="19"/>
  <c r="P35" i="19" s="1"/>
  <c r="C39" i="20" s="1"/>
  <c r="E39" i="20" s="1"/>
  <c r="H39" i="20" s="1"/>
  <c r="O33" i="19"/>
  <c r="P33" i="19" s="1"/>
  <c r="C37" i="20" s="1"/>
  <c r="E37" i="20" s="1"/>
  <c r="H37" i="20" s="1"/>
  <c r="O27" i="19"/>
  <c r="P27" i="19" s="1"/>
  <c r="C31" i="20" s="1"/>
  <c r="E31" i="20" s="1"/>
  <c r="H31" i="20" s="1"/>
  <c r="O10" i="19"/>
  <c r="P10" i="19" s="1"/>
  <c r="C14" i="20" s="1"/>
  <c r="E14" i="20" s="1"/>
  <c r="H14" i="20" s="1"/>
  <c r="O14" i="19"/>
  <c r="P14" i="19" s="1"/>
  <c r="C18" i="20" s="1"/>
  <c r="E18" i="20" s="1"/>
  <c r="H18" i="20" s="1"/>
  <c r="O16" i="19"/>
  <c r="P16" i="19" s="1"/>
  <c r="C20" i="20" s="1"/>
  <c r="E20" i="20" s="1"/>
  <c r="H20" i="20" s="1"/>
  <c r="O25" i="19"/>
  <c r="P25" i="19" s="1"/>
  <c r="C29" i="20" s="1"/>
  <c r="E29" i="20" s="1"/>
  <c r="H29" i="20" s="1"/>
  <c r="O24" i="19"/>
  <c r="P24" i="19" s="1"/>
  <c r="C28" i="20" s="1"/>
  <c r="E28" i="20" s="1"/>
  <c r="H28" i="20" s="1"/>
  <c r="O9" i="19"/>
  <c r="P9" i="19" s="1"/>
  <c r="C13" i="20" s="1"/>
  <c r="E13" i="20" s="1"/>
  <c r="H13" i="20" s="1"/>
  <c r="O34" i="19"/>
  <c r="P34" i="19" s="1"/>
  <c r="C38" i="20" s="1"/>
  <c r="E38" i="20" s="1"/>
  <c r="H38" i="20" s="1"/>
  <c r="O28" i="19"/>
  <c r="P28" i="19" s="1"/>
  <c r="C32" i="20" s="1"/>
  <c r="E32" i="20" s="1"/>
  <c r="H32" i="20" s="1"/>
  <c r="O13" i="19"/>
  <c r="P13" i="19" s="1"/>
  <c r="C17" i="20" s="1"/>
  <c r="E17" i="20" s="1"/>
  <c r="H17" i="20" s="1"/>
  <c r="O15" i="19"/>
  <c r="P15" i="19" s="1"/>
  <c r="C19" i="20" s="1"/>
  <c r="E19" i="20" s="1"/>
  <c r="H19" i="20" s="1"/>
  <c r="O29" i="19"/>
  <c r="P29" i="19" s="1"/>
  <c r="C33" i="20" s="1"/>
  <c r="E33" i="20" s="1"/>
  <c r="H33" i="20" s="1"/>
  <c r="O32" i="19"/>
  <c r="P32" i="19" s="1"/>
  <c r="C36" i="20" s="1"/>
  <c r="E36" i="20" s="1"/>
  <c r="H36" i="20" s="1"/>
  <c r="O20" i="19"/>
  <c r="P20" i="19" s="1"/>
  <c r="C24" i="20" s="1"/>
  <c r="E24" i="20" s="1"/>
  <c r="H24" i="20" s="1"/>
  <c r="O30" i="19"/>
  <c r="P30" i="19" s="1"/>
  <c r="C34" i="20" s="1"/>
  <c r="E34" i="20" s="1"/>
  <c r="H34" i="20" s="1"/>
  <c r="O26" i="19"/>
  <c r="P26" i="19" s="1"/>
  <c r="C30" i="20" s="1"/>
  <c r="E30" i="20" s="1"/>
  <c r="H30" i="20" s="1"/>
  <c r="I44" i="8"/>
  <c r="O8" i="19"/>
  <c r="P8" i="19" s="1"/>
  <c r="C12" i="20" s="1"/>
  <c r="E12" i="20" s="1"/>
  <c r="H12" i="20" s="1"/>
  <c r="F40" i="19"/>
  <c r="G40" i="19"/>
  <c r="Z39" i="38"/>
  <c r="BX8" i="37"/>
  <c r="CD43" i="37"/>
  <c r="D42" i="37"/>
  <c r="A19" i="31"/>
  <c r="A19" i="14"/>
  <c r="A22" i="13"/>
  <c r="A24" i="8"/>
  <c r="A19" i="38" s="1"/>
  <c r="A19" i="3"/>
  <c r="A18" i="33"/>
  <c r="A22" i="37" s="1"/>
  <c r="A24" i="20"/>
  <c r="A19" i="36"/>
  <c r="A24" i="42" s="1"/>
  <c r="B44" i="43" s="1"/>
  <c r="A19" i="29"/>
  <c r="A20" i="19"/>
  <c r="A19" i="30"/>
  <c r="A19" i="32"/>
  <c r="A19" i="28"/>
  <c r="A22" i="12"/>
  <c r="A18" i="25"/>
  <c r="I40" i="19"/>
  <c r="O7" i="19"/>
  <c r="CJ43" i="37" l="1"/>
  <c r="CD8" i="37"/>
  <c r="P7" i="19"/>
  <c r="O40" i="19"/>
  <c r="A20" i="29"/>
  <c r="A23" i="13"/>
  <c r="A20" i="31"/>
  <c r="A20" i="3"/>
  <c r="A20" i="30"/>
  <c r="A20" i="14"/>
  <c r="A25" i="20"/>
  <c r="A25" i="8"/>
  <c r="A20" i="38" s="1"/>
  <c r="A21" i="19"/>
  <c r="A20" i="36"/>
  <c r="A25" i="42" s="1"/>
  <c r="B45" i="43" s="1"/>
  <c r="A20" i="32"/>
  <c r="A19" i="33"/>
  <c r="A23" i="37" s="1"/>
  <c r="A19" i="25"/>
  <c r="A20" i="28"/>
  <c r="A23" i="12"/>
  <c r="CJ8" i="37" l="1"/>
  <c r="CP43" i="37"/>
  <c r="A21" i="32"/>
  <c r="A26" i="20"/>
  <c r="A24" i="12"/>
  <c r="A21" i="31"/>
  <c r="A26" i="8"/>
  <c r="A21" i="38" s="1"/>
  <c r="A21" i="14"/>
  <c r="A21" i="30"/>
  <c r="A22" i="19"/>
  <c r="A21" i="36"/>
  <c r="A26" i="42" s="1"/>
  <c r="B46" i="43" s="1"/>
  <c r="A20" i="25"/>
  <c r="A20" i="33"/>
  <c r="A24" i="37" s="1"/>
  <c r="A24" i="13"/>
  <c r="A21" i="3"/>
  <c r="A21" i="29"/>
  <c r="A21" i="28"/>
  <c r="P40" i="19"/>
  <c r="C11" i="20"/>
  <c r="CV43" i="37" l="1"/>
  <c r="CP8" i="37"/>
  <c r="C44" i="20"/>
  <c r="E11" i="20"/>
  <c r="A25" i="13"/>
  <c r="A22" i="36"/>
  <c r="A27" i="42" s="1"/>
  <c r="B47" i="43" s="1"/>
  <c r="A22" i="14"/>
  <c r="A27" i="20"/>
  <c r="A21" i="33"/>
  <c r="A25" i="37" s="1"/>
  <c r="A22" i="32"/>
  <c r="A22" i="3"/>
  <c r="A22" i="30"/>
  <c r="A21" i="25"/>
  <c r="A23" i="19"/>
  <c r="A22" i="29"/>
  <c r="A22" i="28"/>
  <c r="A27" i="8"/>
  <c r="A22" i="38" s="1"/>
  <c r="A25" i="12"/>
  <c r="A22" i="31"/>
  <c r="DB43" i="37" l="1"/>
  <c r="CV8" i="37"/>
  <c r="A22" i="25"/>
  <c r="A23" i="36"/>
  <c r="A28" i="42" s="1"/>
  <c r="B48" i="43" s="1"/>
  <c r="A23" i="14"/>
  <c r="A23" i="31"/>
  <c r="A22" i="33"/>
  <c r="A26" i="37" s="1"/>
  <c r="A26" i="12"/>
  <c r="A23" i="3"/>
  <c r="A28" i="8"/>
  <c r="A23" i="38" s="1"/>
  <c r="A28" i="20"/>
  <c r="A23" i="30"/>
  <c r="A23" i="29"/>
  <c r="A26" i="13"/>
  <c r="A23" i="28"/>
  <c r="A23" i="32"/>
  <c r="A24" i="19"/>
  <c r="H11" i="20"/>
  <c r="E44" i="20"/>
  <c r="DB8" i="37" l="1"/>
  <c r="DH43" i="37"/>
  <c r="A24" i="28"/>
  <c r="A27" i="12"/>
  <c r="A29" i="8"/>
  <c r="A24" i="38" s="1"/>
  <c r="A23" i="25"/>
  <c r="A25" i="19"/>
  <c r="A24" i="14"/>
  <c r="A24" i="3"/>
  <c r="A24" i="32"/>
  <c r="A24" i="36"/>
  <c r="A29" i="42" s="1"/>
  <c r="B49" i="43" s="1"/>
  <c r="A24" i="31"/>
  <c r="A24" i="29"/>
  <c r="A29" i="20"/>
  <c r="A24" i="30"/>
  <c r="A27" i="13"/>
  <c r="A23" i="33"/>
  <c r="A27" i="37" s="1"/>
  <c r="H44" i="20"/>
  <c r="I11" i="20" s="1"/>
  <c r="DN43" i="37" l="1"/>
  <c r="DH8" i="37"/>
  <c r="F5" i="33"/>
  <c r="J11" i="20"/>
  <c r="I42" i="20"/>
  <c r="I41" i="20"/>
  <c r="I39" i="20"/>
  <c r="I40" i="20"/>
  <c r="I21" i="20"/>
  <c r="I27" i="20"/>
  <c r="I43" i="20"/>
  <c r="I33" i="20"/>
  <c r="I24" i="20"/>
  <c r="I36" i="20"/>
  <c r="I34" i="20"/>
  <c r="I29" i="20"/>
  <c r="I12" i="20"/>
  <c r="I23" i="20"/>
  <c r="I26" i="20"/>
  <c r="I30" i="20"/>
  <c r="I17" i="20"/>
  <c r="I18" i="20"/>
  <c r="I38" i="20"/>
  <c r="I16" i="20"/>
  <c r="I31" i="20"/>
  <c r="I32" i="20"/>
  <c r="I37" i="20"/>
  <c r="I22" i="20"/>
  <c r="I28" i="20"/>
  <c r="I13" i="20"/>
  <c r="I25" i="20"/>
  <c r="I35" i="20"/>
  <c r="I14" i="20"/>
  <c r="I15" i="20"/>
  <c r="I20" i="20"/>
  <c r="I19" i="20"/>
  <c r="A28" i="12"/>
  <c r="A28" i="13"/>
  <c r="A25" i="3"/>
  <c r="A30" i="8"/>
  <c r="A25" i="38" s="1"/>
  <c r="A30" i="20"/>
  <c r="A25" i="30"/>
  <c r="A25" i="28"/>
  <c r="A26" i="19"/>
  <c r="A25" i="32"/>
  <c r="A25" i="36"/>
  <c r="A30" i="42" s="1"/>
  <c r="B50" i="43" s="1"/>
  <c r="A25" i="31"/>
  <c r="A24" i="33"/>
  <c r="A28" i="37" s="1"/>
  <c r="A25" i="14"/>
  <c r="A25" i="29"/>
  <c r="A24" i="25"/>
  <c r="DT43" i="37" l="1"/>
  <c r="DN8" i="37"/>
  <c r="F8" i="33"/>
  <c r="G8" i="33" s="1"/>
  <c r="J14" i="20"/>
  <c r="F22" i="33"/>
  <c r="G22" i="33" s="1"/>
  <c r="J28" i="20"/>
  <c r="F25" i="33"/>
  <c r="G25" i="33" s="1"/>
  <c r="J31" i="20"/>
  <c r="J17" i="20"/>
  <c r="F11" i="33"/>
  <c r="G11" i="33" s="1"/>
  <c r="J12" i="20"/>
  <c r="F6" i="33"/>
  <c r="G6" i="33" s="1"/>
  <c r="F18" i="33"/>
  <c r="G18" i="33" s="1"/>
  <c r="J24" i="20"/>
  <c r="J21" i="20"/>
  <c r="F15" i="33"/>
  <c r="G15" i="33" s="1"/>
  <c r="J42" i="20"/>
  <c r="F36" i="33"/>
  <c r="G36" i="33" s="1"/>
  <c r="A26" i="28"/>
  <c r="A31" i="20"/>
  <c r="A31" i="8"/>
  <c r="A26" i="38" s="1"/>
  <c r="A26" i="14"/>
  <c r="A26" i="3"/>
  <c r="A29" i="13"/>
  <c r="A26" i="32"/>
  <c r="A26" i="31"/>
  <c r="A26" i="36"/>
  <c r="A31" i="42" s="1"/>
  <c r="B51" i="43" s="1"/>
  <c r="A26" i="29"/>
  <c r="A25" i="25"/>
  <c r="A29" i="12"/>
  <c r="A26" i="30"/>
  <c r="A27" i="19"/>
  <c r="A25" i="33"/>
  <c r="A29" i="37" s="1"/>
  <c r="J19" i="20"/>
  <c r="F13" i="33"/>
  <c r="G13" i="33" s="1"/>
  <c r="J35" i="20"/>
  <c r="F29" i="33"/>
  <c r="G29" i="33" s="1"/>
  <c r="J22" i="20"/>
  <c r="F16" i="33"/>
  <c r="G16" i="33" s="1"/>
  <c r="J16" i="20"/>
  <c r="F10" i="33"/>
  <c r="G10" i="33" s="1"/>
  <c r="J30" i="20"/>
  <c r="F24" i="33"/>
  <c r="G24" i="33" s="1"/>
  <c r="J29" i="20"/>
  <c r="F23" i="33"/>
  <c r="G23" i="33" s="1"/>
  <c r="F27" i="33"/>
  <c r="G27" i="33" s="1"/>
  <c r="J33" i="20"/>
  <c r="F34" i="33"/>
  <c r="G34" i="33" s="1"/>
  <c r="J40" i="20"/>
  <c r="I44" i="20"/>
  <c r="F14" i="33"/>
  <c r="G14" i="33" s="1"/>
  <c r="J20" i="20"/>
  <c r="J37" i="20"/>
  <c r="F31" i="33"/>
  <c r="G31" i="33" s="1"/>
  <c r="J38" i="20"/>
  <c r="F32" i="33"/>
  <c r="G32" i="33" s="1"/>
  <c r="F20" i="33"/>
  <c r="G20" i="33" s="1"/>
  <c r="J26" i="20"/>
  <c r="F28" i="33"/>
  <c r="G28" i="33" s="1"/>
  <c r="J34" i="20"/>
  <c r="F37" i="33"/>
  <c r="G37" i="33" s="1"/>
  <c r="J43" i="20"/>
  <c r="F33" i="33"/>
  <c r="G33" i="33" s="1"/>
  <c r="J39" i="20"/>
  <c r="J25" i="20"/>
  <c r="F19" i="33"/>
  <c r="G19" i="33" s="1"/>
  <c r="F9" i="33"/>
  <c r="G9" i="33" s="1"/>
  <c r="J15" i="20"/>
  <c r="F7" i="33"/>
  <c r="G7" i="33" s="1"/>
  <c r="J13" i="20"/>
  <c r="F26" i="33"/>
  <c r="G26" i="33" s="1"/>
  <c r="J32" i="20"/>
  <c r="F12" i="33"/>
  <c r="G12" i="33" s="1"/>
  <c r="J18" i="20"/>
  <c r="F17" i="33"/>
  <c r="G17" i="33" s="1"/>
  <c r="J23" i="20"/>
  <c r="J36" i="20"/>
  <c r="F30" i="33"/>
  <c r="G30" i="33" s="1"/>
  <c r="F21" i="33"/>
  <c r="G21" i="33" s="1"/>
  <c r="J27" i="20"/>
  <c r="F35" i="33"/>
  <c r="G35" i="33" s="1"/>
  <c r="J41" i="20"/>
  <c r="G5" i="33"/>
  <c r="DZ43" i="37" l="1"/>
  <c r="DT8" i="37"/>
  <c r="F38" i="33"/>
  <c r="J44" i="20"/>
  <c r="E41" i="37"/>
  <c r="F41" i="37" s="1"/>
  <c r="G41" i="37" s="1"/>
  <c r="H41" i="37" s="1"/>
  <c r="H37" i="33"/>
  <c r="I37" i="33" s="1"/>
  <c r="E24" i="37"/>
  <c r="F24" i="37" s="1"/>
  <c r="G24" i="37" s="1"/>
  <c r="H24" i="37" s="1"/>
  <c r="H20" i="33"/>
  <c r="I20" i="33" s="1"/>
  <c r="H23" i="33"/>
  <c r="I23" i="33" s="1"/>
  <c r="E27" i="37"/>
  <c r="F27" i="37" s="1"/>
  <c r="G27" i="37" s="1"/>
  <c r="H27" i="37" s="1"/>
  <c r="H10" i="33"/>
  <c r="I10" i="33" s="1"/>
  <c r="E14" i="37"/>
  <c r="F14" i="37" s="1"/>
  <c r="G14" i="37" s="1"/>
  <c r="H14" i="37" s="1"/>
  <c r="H29" i="33"/>
  <c r="I29" i="33" s="1"/>
  <c r="E33" i="37"/>
  <c r="F33" i="37" s="1"/>
  <c r="G33" i="37" s="1"/>
  <c r="H33" i="37" s="1"/>
  <c r="E19" i="37"/>
  <c r="F19" i="37" s="1"/>
  <c r="G19" i="37" s="1"/>
  <c r="H19" i="37" s="1"/>
  <c r="H15" i="33"/>
  <c r="I15" i="33" s="1"/>
  <c r="H6" i="33"/>
  <c r="I6" i="33" s="1"/>
  <c r="E10" i="37"/>
  <c r="F10" i="37" s="1"/>
  <c r="G10" i="37" s="1"/>
  <c r="H10" i="37" s="1"/>
  <c r="H5" i="33"/>
  <c r="G38" i="33"/>
  <c r="E9" i="37"/>
  <c r="H21" i="33"/>
  <c r="I21" i="33" s="1"/>
  <c r="E25" i="37"/>
  <c r="F25" i="37" s="1"/>
  <c r="G25" i="37" s="1"/>
  <c r="H25" i="37" s="1"/>
  <c r="E21" i="37"/>
  <c r="F21" i="37" s="1"/>
  <c r="G21" i="37" s="1"/>
  <c r="H21" i="37" s="1"/>
  <c r="H17" i="33"/>
  <c r="I17" i="33" s="1"/>
  <c r="E30" i="37"/>
  <c r="F30" i="37" s="1"/>
  <c r="G30" i="37" s="1"/>
  <c r="H30" i="37" s="1"/>
  <c r="H26" i="33"/>
  <c r="I26" i="33" s="1"/>
  <c r="E13" i="37"/>
  <c r="F13" i="37" s="1"/>
  <c r="G13" i="37" s="1"/>
  <c r="H13" i="37" s="1"/>
  <c r="H9" i="33"/>
  <c r="I9" i="33" s="1"/>
  <c r="E36" i="37"/>
  <c r="F36" i="37" s="1"/>
  <c r="G36" i="37" s="1"/>
  <c r="H36" i="37" s="1"/>
  <c r="H32" i="33"/>
  <c r="I32" i="33" s="1"/>
  <c r="E38" i="37"/>
  <c r="F38" i="37" s="1"/>
  <c r="G38" i="37" s="1"/>
  <c r="H38" i="37" s="1"/>
  <c r="H34" i="33"/>
  <c r="I34" i="33" s="1"/>
  <c r="H25" i="33"/>
  <c r="I25" i="33" s="1"/>
  <c r="E29" i="37"/>
  <c r="F29" i="37" s="1"/>
  <c r="G29" i="37" s="1"/>
  <c r="H29" i="37" s="1"/>
  <c r="H8" i="33"/>
  <c r="I8" i="33" s="1"/>
  <c r="E12" i="37"/>
  <c r="F12" i="37" s="1"/>
  <c r="G12" i="37" s="1"/>
  <c r="H12" i="37" s="1"/>
  <c r="E37" i="37"/>
  <c r="F37" i="37" s="1"/>
  <c r="G37" i="37" s="1"/>
  <c r="H37" i="37" s="1"/>
  <c r="H33" i="33"/>
  <c r="I33" i="33" s="1"/>
  <c r="H28" i="33"/>
  <c r="I28" i="33" s="1"/>
  <c r="E32" i="37"/>
  <c r="F32" i="37" s="1"/>
  <c r="G32" i="37" s="1"/>
  <c r="H32" i="37" s="1"/>
  <c r="H14" i="33"/>
  <c r="I14" i="33" s="1"/>
  <c r="E18" i="37"/>
  <c r="F18" i="37" s="1"/>
  <c r="G18" i="37" s="1"/>
  <c r="H18" i="37" s="1"/>
  <c r="H24" i="33"/>
  <c r="I24" i="33" s="1"/>
  <c r="E28" i="37"/>
  <c r="F28" i="37" s="1"/>
  <c r="G28" i="37" s="1"/>
  <c r="H28" i="37" s="1"/>
  <c r="H16" i="33"/>
  <c r="I16" i="33" s="1"/>
  <c r="E20" i="37"/>
  <c r="F20" i="37" s="1"/>
  <c r="G20" i="37" s="1"/>
  <c r="H20" i="37" s="1"/>
  <c r="H13" i="33"/>
  <c r="I13" i="33" s="1"/>
  <c r="E17" i="37"/>
  <c r="F17" i="37" s="1"/>
  <c r="G17" i="37" s="1"/>
  <c r="H17" i="37" s="1"/>
  <c r="A27" i="32"/>
  <c r="A27" i="30"/>
  <c r="A30" i="12"/>
  <c r="A27" i="29"/>
  <c r="A27" i="3"/>
  <c r="A27" i="31"/>
  <c r="A32" i="20"/>
  <c r="A32" i="8"/>
  <c r="A27" i="38" s="1"/>
  <c r="A27" i="36"/>
  <c r="A32" i="42" s="1"/>
  <c r="B52" i="43" s="1"/>
  <c r="A28" i="19"/>
  <c r="A27" i="14"/>
  <c r="A26" i="25"/>
  <c r="A27" i="28"/>
  <c r="A26" i="33"/>
  <c r="A30" i="37" s="1"/>
  <c r="A30" i="13"/>
  <c r="E40" i="37"/>
  <c r="F40" i="37" s="1"/>
  <c r="G40" i="37" s="1"/>
  <c r="H40" i="37" s="1"/>
  <c r="H36" i="33"/>
  <c r="I36" i="33" s="1"/>
  <c r="E15" i="37"/>
  <c r="F15" i="37" s="1"/>
  <c r="G15" i="37" s="1"/>
  <c r="H15" i="37" s="1"/>
  <c r="H11" i="33"/>
  <c r="I11" i="33" s="1"/>
  <c r="H30" i="33"/>
  <c r="I30" i="33" s="1"/>
  <c r="E34" i="37"/>
  <c r="F34" i="37" s="1"/>
  <c r="G34" i="37" s="1"/>
  <c r="H34" i="37" s="1"/>
  <c r="H19" i="33"/>
  <c r="I19" i="33" s="1"/>
  <c r="E23" i="37"/>
  <c r="F23" i="37" s="1"/>
  <c r="G23" i="37" s="1"/>
  <c r="H23" i="37" s="1"/>
  <c r="E39" i="37"/>
  <c r="F39" i="37" s="1"/>
  <c r="G39" i="37" s="1"/>
  <c r="H39" i="37" s="1"/>
  <c r="H35" i="33"/>
  <c r="I35" i="33" s="1"/>
  <c r="E16" i="37"/>
  <c r="F16" i="37" s="1"/>
  <c r="G16" i="37" s="1"/>
  <c r="H16" i="37" s="1"/>
  <c r="H12" i="33"/>
  <c r="I12" i="33" s="1"/>
  <c r="E11" i="37"/>
  <c r="F11" i="37" s="1"/>
  <c r="G11" i="37" s="1"/>
  <c r="H11" i="37" s="1"/>
  <c r="H7" i="33"/>
  <c r="I7" i="33" s="1"/>
  <c r="H31" i="33"/>
  <c r="I31" i="33" s="1"/>
  <c r="E35" i="37"/>
  <c r="F35" i="37" s="1"/>
  <c r="G35" i="37" s="1"/>
  <c r="H35" i="37" s="1"/>
  <c r="E31" i="37"/>
  <c r="F31" i="37" s="1"/>
  <c r="G31" i="37" s="1"/>
  <c r="H31" i="37" s="1"/>
  <c r="H27" i="33"/>
  <c r="I27" i="33" s="1"/>
  <c r="H18" i="33"/>
  <c r="I18" i="33" s="1"/>
  <c r="E22" i="37"/>
  <c r="F22" i="37" s="1"/>
  <c r="G22" i="37" s="1"/>
  <c r="H22" i="37" s="1"/>
  <c r="H22" i="33"/>
  <c r="I22" i="33" s="1"/>
  <c r="E26" i="37"/>
  <c r="F26" i="37" s="1"/>
  <c r="G26" i="37" s="1"/>
  <c r="H26" i="37" s="1"/>
  <c r="EF43" i="37" l="1"/>
  <c r="DZ8" i="37"/>
  <c r="J40" i="37"/>
  <c r="K40" i="37" s="1"/>
  <c r="L40" i="37" s="1"/>
  <c r="M40" i="37" s="1"/>
  <c r="N40" i="37" s="1"/>
  <c r="O40" i="37" s="1"/>
  <c r="P40" i="37" s="1"/>
  <c r="I40" i="37" a="1"/>
  <c r="I40" i="37" s="1"/>
  <c r="A29" i="19"/>
  <c r="A28" i="29"/>
  <c r="A31" i="13"/>
  <c r="A28" i="31"/>
  <c r="A28" i="14"/>
  <c r="A27" i="33"/>
  <c r="A31" i="37" s="1"/>
  <c r="A28" i="30"/>
  <c r="A33" i="8"/>
  <c r="A28" i="38" s="1"/>
  <c r="A28" i="36"/>
  <c r="A33" i="42" s="1"/>
  <c r="B53" i="43" s="1"/>
  <c r="A33" i="20"/>
  <c r="A31" i="12"/>
  <c r="A27" i="25"/>
  <c r="A28" i="32"/>
  <c r="A28" i="3"/>
  <c r="A28" i="28"/>
  <c r="I5" i="33"/>
  <c r="I38" i="33" s="1"/>
  <c r="H38" i="33"/>
  <c r="F9" i="37"/>
  <c r="E42" i="37"/>
  <c r="I41" i="37" a="1"/>
  <c r="I41" i="37" s="1"/>
  <c r="J41" i="37"/>
  <c r="K41" i="37" s="1"/>
  <c r="L41" i="37" s="1"/>
  <c r="M41" i="37" s="1"/>
  <c r="N41" i="37" s="1"/>
  <c r="O41" i="37" s="1"/>
  <c r="P41" i="37" s="1"/>
  <c r="EF8" i="37" l="1"/>
  <c r="EL43" i="37"/>
  <c r="Q41" i="37"/>
  <c r="R41" i="37" s="1"/>
  <c r="S41" i="37" s="1"/>
  <c r="T41" i="37" s="1"/>
  <c r="U41" i="37" s="1"/>
  <c r="V41" i="37" s="1"/>
  <c r="W41" i="37" s="1"/>
  <c r="X41" i="37" s="1"/>
  <c r="Y41" i="37" s="1"/>
  <c r="Z41" i="37" s="1"/>
  <c r="AA41" i="37" s="1"/>
  <c r="AB41" i="37" s="1"/>
  <c r="AC41" i="37" s="1"/>
  <c r="AD41" i="37" s="1"/>
  <c r="AE41" i="37" s="1"/>
  <c r="AF41" i="37" s="1"/>
  <c r="AG41" i="37" s="1"/>
  <c r="AH41" i="37" s="1"/>
  <c r="AI41" i="37" s="1"/>
  <c r="AJ41" i="37" s="1"/>
  <c r="AK41" i="37" s="1"/>
  <c r="AL41" i="37" s="1"/>
  <c r="AM41" i="37" s="1"/>
  <c r="AN41" i="37" s="1"/>
  <c r="AO41" i="37" s="1"/>
  <c r="AP41" i="37" s="1"/>
  <c r="AQ41" i="37" s="1"/>
  <c r="AR41" i="37" s="1"/>
  <c r="AS41" i="37" s="1"/>
  <c r="AT41" i="37" s="1"/>
  <c r="AU41" i="37" s="1"/>
  <c r="AV41" i="37" s="1"/>
  <c r="AW41" i="37" s="1"/>
  <c r="AX41" i="37" s="1"/>
  <c r="AY41" i="37" s="1"/>
  <c r="AZ41" i="37" s="1"/>
  <c r="BA41" i="37" s="1"/>
  <c r="BB41" i="37" s="1"/>
  <c r="BC41" i="37" s="1"/>
  <c r="BD41" i="37" s="1"/>
  <c r="BE41" i="37" s="1"/>
  <c r="BF41" i="37" s="1"/>
  <c r="BG41" i="37" s="1"/>
  <c r="BH41" i="37" s="1"/>
  <c r="BI41" i="37" s="1"/>
  <c r="BJ41" i="37" s="1"/>
  <c r="BK41" i="37" s="1"/>
  <c r="BL41" i="37" s="1"/>
  <c r="BM41" i="37" s="1"/>
  <c r="BN41" i="37" s="1"/>
  <c r="BO41" i="37" s="1"/>
  <c r="BP41" i="37" s="1"/>
  <c r="BQ41" i="37" s="1"/>
  <c r="BR41" i="37" s="1"/>
  <c r="BS41" i="37" s="1"/>
  <c r="BT41" i="37" s="1"/>
  <c r="BU41" i="37" s="1"/>
  <c r="BV41" i="37" s="1"/>
  <c r="BW41" i="37" s="1"/>
  <c r="BX41" i="37" s="1"/>
  <c r="BY41" i="37" s="1"/>
  <c r="BZ41" i="37" s="1"/>
  <c r="CA41" i="37" s="1"/>
  <c r="CB41" i="37" s="1"/>
  <c r="CC41" i="37" s="1"/>
  <c r="CD41" i="37" s="1"/>
  <c r="CE41" i="37" s="1"/>
  <c r="CF41" i="37" s="1"/>
  <c r="CG41" i="37" s="1"/>
  <c r="CH41" i="37" s="1"/>
  <c r="CI41" i="37" s="1"/>
  <c r="CJ41" i="37" s="1"/>
  <c r="CK41" i="37" s="1"/>
  <c r="CL41" i="37" s="1"/>
  <c r="CM41" i="37" s="1"/>
  <c r="CN41" i="37" s="1"/>
  <c r="CO41" i="37" s="1"/>
  <c r="CP41" i="37" s="1"/>
  <c r="CQ41" i="37" s="1"/>
  <c r="CR41" i="37" s="1"/>
  <c r="CS41" i="37" s="1"/>
  <c r="CT41" i="37" s="1"/>
  <c r="CU41" i="37" s="1"/>
  <c r="CV41" i="37" s="1"/>
  <c r="CW41" i="37" s="1"/>
  <c r="CX41" i="37" s="1"/>
  <c r="CY41" i="37" s="1"/>
  <c r="CZ41" i="37" s="1"/>
  <c r="DA41" i="37" s="1"/>
  <c r="DB41" i="37" s="1"/>
  <c r="DC41" i="37" s="1"/>
  <c r="DD41" i="37" s="1"/>
  <c r="DE41" i="37" s="1"/>
  <c r="DF41" i="37" s="1"/>
  <c r="DG41" i="37" s="1"/>
  <c r="DH41" i="37" s="1"/>
  <c r="DI41" i="37" s="1"/>
  <c r="DJ41" i="37" s="1"/>
  <c r="DK41" i="37" s="1"/>
  <c r="DL41" i="37" s="1"/>
  <c r="DM41" i="37" s="1"/>
  <c r="DN41" i="37" s="1"/>
  <c r="DO41" i="37" s="1"/>
  <c r="DP41" i="37" s="1"/>
  <c r="DQ41" i="37" s="1"/>
  <c r="DR41" i="37" s="1"/>
  <c r="DS41" i="37" s="1"/>
  <c r="DT41" i="37" s="1"/>
  <c r="DU41" i="37" s="1"/>
  <c r="DV41" i="37" s="1"/>
  <c r="DW41" i="37" s="1"/>
  <c r="DX41" i="37" s="1"/>
  <c r="DY41" i="37" s="1"/>
  <c r="DZ41" i="37" s="1"/>
  <c r="EA41" i="37" s="1"/>
  <c r="EB41" i="37" s="1"/>
  <c r="EC41" i="37" s="1"/>
  <c r="ED41" i="37" s="1"/>
  <c r="EE41" i="37" s="1"/>
  <c r="EF41" i="37" s="1"/>
  <c r="EG41" i="37" s="1"/>
  <c r="EH41" i="37" s="1"/>
  <c r="EI41" i="37" s="1"/>
  <c r="EJ41" i="37" s="1"/>
  <c r="EK41" i="37" s="1"/>
  <c r="EL41" i="37" s="1"/>
  <c r="EM41" i="37" s="1"/>
  <c r="EN41" i="37" s="1"/>
  <c r="EO41" i="37" s="1"/>
  <c r="EP41" i="37" s="1"/>
  <c r="EQ41" i="37" s="1"/>
  <c r="ER41" i="37" s="1"/>
  <c r="ES41" i="37" s="1"/>
  <c r="ET41" i="37" s="1"/>
  <c r="EU41" i="37" s="1"/>
  <c r="EV41" i="37" s="1"/>
  <c r="EW41" i="37" s="1"/>
  <c r="EX41" i="37" s="1"/>
  <c r="EY41" i="37" s="1"/>
  <c r="EZ41" i="37" s="1"/>
  <c r="FA41" i="37" s="1"/>
  <c r="FB41" i="37" s="1"/>
  <c r="FC41" i="37" s="1"/>
  <c r="FD41" i="37" s="1"/>
  <c r="FE41" i="37" s="1"/>
  <c r="FF41" i="37" s="1"/>
  <c r="FG41" i="37" s="1"/>
  <c r="FH41" i="37" s="1"/>
  <c r="FI41" i="37" s="1"/>
  <c r="FJ41" i="37" s="1"/>
  <c r="FK41" i="37" s="1"/>
  <c r="FL41" i="37" s="1"/>
  <c r="FM41" i="37" s="1"/>
  <c r="FN41" i="37" s="1"/>
  <c r="FO41" i="37" s="1"/>
  <c r="FP41" i="37" s="1"/>
  <c r="FQ41" i="37" s="1"/>
  <c r="FR41" i="37" s="1"/>
  <c r="FS41" i="37" s="1"/>
  <c r="FT41" i="37" s="1"/>
  <c r="FU41" i="37" s="1"/>
  <c r="FV41" i="37" s="1"/>
  <c r="FW41" i="37" s="1"/>
  <c r="FX41" i="37" s="1"/>
  <c r="FY41" i="37" s="1"/>
  <c r="FZ41" i="37" s="1"/>
  <c r="GA41" i="37" s="1"/>
  <c r="GB41" i="37" s="1"/>
  <c r="GC41" i="37" s="1"/>
  <c r="GD41" i="37" s="1"/>
  <c r="GE41" i="37" s="1"/>
  <c r="GF41" i="37" s="1"/>
  <c r="GG41" i="37" s="1"/>
  <c r="GH41" i="37" s="1"/>
  <c r="GI41" i="37" s="1"/>
  <c r="GJ41" i="37" s="1"/>
  <c r="GK41" i="37" s="1"/>
  <c r="GL41" i="37" s="1"/>
  <c r="GM41" i="37" s="1"/>
  <c r="GN41" i="37" s="1"/>
  <c r="GO41" i="37" s="1"/>
  <c r="GP41" i="37" s="1"/>
  <c r="GQ41" i="37" s="1"/>
  <c r="GR41" i="37" s="1"/>
  <c r="GS41" i="37" s="1"/>
  <c r="GT41" i="37" s="1"/>
  <c r="GU41" i="37" s="1"/>
  <c r="GV41" i="37" s="1"/>
  <c r="GW41" i="37" s="1"/>
  <c r="GX41" i="37" s="1"/>
  <c r="GY41" i="37" s="1"/>
  <c r="GZ41" i="37" s="1"/>
  <c r="HC41" i="37" s="1"/>
  <c r="HD41" i="37" s="1"/>
  <c r="HB41" i="37" s="1"/>
  <c r="HA41" i="37"/>
  <c r="D38" i="36" s="1"/>
  <c r="A28" i="33"/>
  <c r="A32" i="37" s="1"/>
  <c r="A32" i="13"/>
  <c r="A29" i="31"/>
  <c r="A29" i="14"/>
  <c r="A28" i="25"/>
  <c r="A30" i="19"/>
  <c r="A29" i="30"/>
  <c r="A32" i="12"/>
  <c r="A34" i="8"/>
  <c r="A29" i="38" s="1"/>
  <c r="A29" i="32"/>
  <c r="A34" i="20"/>
  <c r="A29" i="36"/>
  <c r="A34" i="42" s="1"/>
  <c r="B54" i="43" s="1"/>
  <c r="A29" i="3"/>
  <c r="A29" i="28"/>
  <c r="A29" i="29"/>
  <c r="F42" i="37"/>
  <c r="G9" i="37"/>
  <c r="HA40" i="37"/>
  <c r="D37" i="36" s="1"/>
  <c r="Q40" i="37"/>
  <c r="R40" i="37" s="1"/>
  <c r="S40" i="37" s="1"/>
  <c r="T40" i="37" s="1"/>
  <c r="U40" i="37" s="1"/>
  <c r="V40" i="37" s="1"/>
  <c r="W40" i="37" s="1"/>
  <c r="X40" i="37" s="1"/>
  <c r="Y40" i="37" s="1"/>
  <c r="Z40" i="37" s="1"/>
  <c r="AA40" i="37" s="1"/>
  <c r="AB40" i="37" s="1"/>
  <c r="AC40" i="37" s="1"/>
  <c r="AD40" i="37" s="1"/>
  <c r="AE40" i="37" s="1"/>
  <c r="AF40" i="37" s="1"/>
  <c r="AG40" i="37" s="1"/>
  <c r="AH40" i="37" s="1"/>
  <c r="AI40" i="37" s="1"/>
  <c r="AJ40" i="37" s="1"/>
  <c r="AK40" i="37" s="1"/>
  <c r="AL40" i="37" s="1"/>
  <c r="AM40" i="37" s="1"/>
  <c r="AN40" i="37" s="1"/>
  <c r="AO40" i="37" s="1"/>
  <c r="AP40" i="37" s="1"/>
  <c r="AQ40" i="37" s="1"/>
  <c r="AR40" i="37" s="1"/>
  <c r="AS40" i="37" s="1"/>
  <c r="AT40" i="37" s="1"/>
  <c r="AU40" i="37" s="1"/>
  <c r="AV40" i="37" s="1"/>
  <c r="AW40" i="37" s="1"/>
  <c r="AX40" i="37" s="1"/>
  <c r="AY40" i="37" s="1"/>
  <c r="AZ40" i="37" s="1"/>
  <c r="BA40" i="37" s="1"/>
  <c r="BB40" i="37" s="1"/>
  <c r="BC40" i="37" s="1"/>
  <c r="BD40" i="37" s="1"/>
  <c r="BE40" i="37" s="1"/>
  <c r="BF40" i="37" s="1"/>
  <c r="BG40" i="37" s="1"/>
  <c r="BH40" i="37" s="1"/>
  <c r="BI40" i="37" s="1"/>
  <c r="BJ40" i="37" s="1"/>
  <c r="BK40" i="37" s="1"/>
  <c r="BL40" i="37" s="1"/>
  <c r="BM40" i="37" s="1"/>
  <c r="BN40" i="37" s="1"/>
  <c r="BO40" i="37" s="1"/>
  <c r="BP40" i="37" s="1"/>
  <c r="BQ40" i="37" s="1"/>
  <c r="BR40" i="37" s="1"/>
  <c r="BS40" i="37" s="1"/>
  <c r="BT40" i="37" s="1"/>
  <c r="BU40" i="37" s="1"/>
  <c r="BV40" i="37" s="1"/>
  <c r="BW40" i="37" s="1"/>
  <c r="BX40" i="37" s="1"/>
  <c r="BY40" i="37" s="1"/>
  <c r="BZ40" i="37" s="1"/>
  <c r="CA40" i="37" s="1"/>
  <c r="CB40" i="37" s="1"/>
  <c r="CC40" i="37" s="1"/>
  <c r="CD40" i="37" s="1"/>
  <c r="CE40" i="37" s="1"/>
  <c r="CF40" i="37" s="1"/>
  <c r="CG40" i="37" s="1"/>
  <c r="CH40" i="37" s="1"/>
  <c r="CI40" i="37" s="1"/>
  <c r="CJ40" i="37" s="1"/>
  <c r="CK40" i="37" s="1"/>
  <c r="CL40" i="37" s="1"/>
  <c r="CM40" i="37" s="1"/>
  <c r="CN40" i="37" s="1"/>
  <c r="CO40" i="37" s="1"/>
  <c r="CP40" i="37" s="1"/>
  <c r="CQ40" i="37" s="1"/>
  <c r="CR40" i="37" s="1"/>
  <c r="CS40" i="37" s="1"/>
  <c r="CT40" i="37" s="1"/>
  <c r="CU40" i="37" s="1"/>
  <c r="CV40" i="37" s="1"/>
  <c r="CW40" i="37" s="1"/>
  <c r="CX40" i="37" s="1"/>
  <c r="CY40" i="37" s="1"/>
  <c r="CZ40" i="37" s="1"/>
  <c r="DA40" i="37" s="1"/>
  <c r="DB40" i="37" s="1"/>
  <c r="DC40" i="37" s="1"/>
  <c r="DD40" i="37" s="1"/>
  <c r="DE40" i="37" s="1"/>
  <c r="DF40" i="37" s="1"/>
  <c r="DG40" i="37" s="1"/>
  <c r="DH40" i="37" s="1"/>
  <c r="DI40" i="37" s="1"/>
  <c r="DJ40" i="37" s="1"/>
  <c r="DK40" i="37" s="1"/>
  <c r="DL40" i="37" s="1"/>
  <c r="DM40" i="37" s="1"/>
  <c r="DN40" i="37" s="1"/>
  <c r="DO40" i="37" s="1"/>
  <c r="DP40" i="37" s="1"/>
  <c r="DQ40" i="37" s="1"/>
  <c r="DR40" i="37" s="1"/>
  <c r="DS40" i="37" s="1"/>
  <c r="DT40" i="37" s="1"/>
  <c r="DU40" i="37" s="1"/>
  <c r="DV40" i="37" s="1"/>
  <c r="DW40" i="37" s="1"/>
  <c r="DX40" i="37" s="1"/>
  <c r="DY40" i="37" s="1"/>
  <c r="DZ40" i="37" s="1"/>
  <c r="EA40" i="37" s="1"/>
  <c r="EB40" i="37" s="1"/>
  <c r="EC40" i="37" s="1"/>
  <c r="ED40" i="37" s="1"/>
  <c r="EE40" i="37" s="1"/>
  <c r="EF40" i="37" s="1"/>
  <c r="EG40" i="37" s="1"/>
  <c r="EH40" i="37" s="1"/>
  <c r="EI40" i="37" s="1"/>
  <c r="EJ40" i="37" s="1"/>
  <c r="EK40" i="37" s="1"/>
  <c r="EL40" i="37" s="1"/>
  <c r="EM40" i="37" s="1"/>
  <c r="EN40" i="37" s="1"/>
  <c r="EO40" i="37" s="1"/>
  <c r="EP40" i="37" s="1"/>
  <c r="EQ40" i="37" s="1"/>
  <c r="ER40" i="37" s="1"/>
  <c r="ES40" i="37" s="1"/>
  <c r="ET40" i="37" s="1"/>
  <c r="EU40" i="37" s="1"/>
  <c r="EV40" i="37" s="1"/>
  <c r="EW40" i="37" s="1"/>
  <c r="EX40" i="37" s="1"/>
  <c r="EY40" i="37" s="1"/>
  <c r="EZ40" i="37" s="1"/>
  <c r="FA40" i="37" s="1"/>
  <c r="FB40" i="37" s="1"/>
  <c r="FC40" i="37" s="1"/>
  <c r="FD40" i="37" s="1"/>
  <c r="FE40" i="37" s="1"/>
  <c r="FF40" i="37" s="1"/>
  <c r="FG40" i="37" s="1"/>
  <c r="FH40" i="37" s="1"/>
  <c r="FI40" i="37" s="1"/>
  <c r="FJ40" i="37" s="1"/>
  <c r="FK40" i="37" s="1"/>
  <c r="FL40" i="37" s="1"/>
  <c r="FM40" i="37" s="1"/>
  <c r="FN40" i="37" s="1"/>
  <c r="FO40" i="37" s="1"/>
  <c r="FP40" i="37" s="1"/>
  <c r="FQ40" i="37" s="1"/>
  <c r="FR40" i="37" s="1"/>
  <c r="FS40" i="37" s="1"/>
  <c r="FT40" i="37" s="1"/>
  <c r="FU40" i="37" s="1"/>
  <c r="FV40" i="37" s="1"/>
  <c r="FW40" i="37" s="1"/>
  <c r="FX40" i="37" s="1"/>
  <c r="FY40" i="37" s="1"/>
  <c r="FZ40" i="37" s="1"/>
  <c r="GA40" i="37" s="1"/>
  <c r="GB40" i="37" s="1"/>
  <c r="GC40" i="37" s="1"/>
  <c r="GD40" i="37" s="1"/>
  <c r="GE40" i="37" s="1"/>
  <c r="GF40" i="37" s="1"/>
  <c r="GG40" i="37" s="1"/>
  <c r="GH40" i="37" s="1"/>
  <c r="GI40" i="37" s="1"/>
  <c r="GJ40" i="37" s="1"/>
  <c r="GK40" i="37" s="1"/>
  <c r="GL40" i="37" s="1"/>
  <c r="GM40" i="37" s="1"/>
  <c r="GN40" i="37" s="1"/>
  <c r="GO40" i="37" s="1"/>
  <c r="GP40" i="37" s="1"/>
  <c r="GQ40" i="37" s="1"/>
  <c r="GR40" i="37" s="1"/>
  <c r="GS40" i="37" s="1"/>
  <c r="GT40" i="37" s="1"/>
  <c r="GU40" i="37" s="1"/>
  <c r="GV40" i="37" s="1"/>
  <c r="GW40" i="37" s="1"/>
  <c r="GX40" i="37" s="1"/>
  <c r="GY40" i="37" s="1"/>
  <c r="GZ40" i="37" s="1"/>
  <c r="HC40" i="37" s="1"/>
  <c r="HD40" i="37" s="1"/>
  <c r="HB40" i="37" s="1"/>
  <c r="EL8" i="37" l="1"/>
  <c r="ER43" i="37"/>
  <c r="G37" i="36"/>
  <c r="G42" i="37"/>
  <c r="H9" i="37"/>
  <c r="I19" i="37" s="1" a="1"/>
  <c r="I19" i="37" s="1"/>
  <c r="I20" i="37" a="1"/>
  <c r="I20" i="37" s="1"/>
  <c r="I24" i="37" a="1"/>
  <c r="I24" i="37" s="1"/>
  <c r="A30" i="32"/>
  <c r="A30" i="30"/>
  <c r="A30" i="14"/>
  <c r="A29" i="33"/>
  <c r="A33" i="37" s="1"/>
  <c r="A30" i="36"/>
  <c r="A35" i="42" s="1"/>
  <c r="B55" i="43" s="1"/>
  <c r="A30" i="29"/>
  <c r="A31" i="19"/>
  <c r="A35" i="20"/>
  <c r="A35" i="8"/>
  <c r="A30" i="38" s="1"/>
  <c r="A33" i="12"/>
  <c r="A30" i="31"/>
  <c r="A30" i="28"/>
  <c r="A30" i="3"/>
  <c r="A29" i="25"/>
  <c r="A33" i="13"/>
  <c r="G38" i="36"/>
  <c r="ER8" i="37" l="1"/>
  <c r="EX43" i="37"/>
  <c r="I38" i="37" a="1"/>
  <c r="I38" i="37" s="1"/>
  <c r="I39" i="37" a="1"/>
  <c r="I39" i="37" s="1"/>
  <c r="I37" i="37" a="1"/>
  <c r="I37" i="37" s="1"/>
  <c r="I16" i="37" a="1"/>
  <c r="I16" i="37" s="1"/>
  <c r="I26" i="37" a="1"/>
  <c r="I26" i="37" s="1"/>
  <c r="I21" i="37" a="1"/>
  <c r="I21" i="37" s="1"/>
  <c r="I11" i="37" a="1"/>
  <c r="I11" i="37" s="1"/>
  <c r="I34" i="37" a="1"/>
  <c r="I34" i="37" s="1"/>
  <c r="I10" i="37" a="1"/>
  <c r="I10" i="37" s="1"/>
  <c r="I32" i="37" a="1"/>
  <c r="I32" i="37" s="1"/>
  <c r="I35" i="37" a="1"/>
  <c r="I35" i="37" s="1"/>
  <c r="I15" i="37" a="1"/>
  <c r="I15" i="37" s="1"/>
  <c r="I31" i="37" a="1"/>
  <c r="I31" i="37" s="1"/>
  <c r="I30" i="37" a="1"/>
  <c r="I30" i="37" s="1"/>
  <c r="I28" i="37" a="1"/>
  <c r="I28" i="37" s="1"/>
  <c r="I29" i="37" a="1"/>
  <c r="I29" i="37" s="1"/>
  <c r="I23" i="37" a="1"/>
  <c r="I23" i="37" s="1"/>
  <c r="I12" i="37" a="1"/>
  <c r="I12" i="37" s="1"/>
  <c r="I27" i="37" a="1"/>
  <c r="I27" i="37" s="1"/>
  <c r="I36" i="37" a="1"/>
  <c r="I36" i="37" s="1"/>
  <c r="I22" i="37" a="1"/>
  <c r="I22" i="37" s="1"/>
  <c r="I17" i="37" a="1"/>
  <c r="I17" i="37" s="1"/>
  <c r="I18" i="37" a="1"/>
  <c r="I18" i="37" s="1"/>
  <c r="I13" i="37" a="1"/>
  <c r="I13" i="37" s="1"/>
  <c r="I33" i="37" a="1"/>
  <c r="I33" i="37" s="1"/>
  <c r="I14" i="37" a="1"/>
  <c r="I14" i="37" s="1"/>
  <c r="I25" i="37" a="1"/>
  <c r="I25" i="37" s="1"/>
  <c r="H42" i="37"/>
  <c r="I9" i="37" a="1"/>
  <c r="I9" i="37" s="1"/>
  <c r="A30" i="25"/>
  <c r="A31" i="28"/>
  <c r="A34" i="13"/>
  <c r="A31" i="32"/>
  <c r="A31" i="31"/>
  <c r="A34" i="12"/>
  <c r="A36" i="8"/>
  <c r="A31" i="38" s="1"/>
  <c r="A31" i="36"/>
  <c r="A36" i="42" s="1"/>
  <c r="B56" i="43" s="1"/>
  <c r="A31" i="3"/>
  <c r="A36" i="20"/>
  <c r="A31" i="29"/>
  <c r="A31" i="14"/>
  <c r="A31" i="30"/>
  <c r="A32" i="19"/>
  <c r="A30" i="33"/>
  <c r="A34" i="37" s="1"/>
  <c r="FD43" i="37" l="1"/>
  <c r="EX8" i="37"/>
  <c r="I42" i="37"/>
  <c r="J9" i="37" s="1"/>
  <c r="K9" i="37" s="1"/>
  <c r="L9" i="37" s="1"/>
  <c r="A37" i="20"/>
  <c r="A31" i="33"/>
  <c r="A35" i="37" s="1"/>
  <c r="A35" i="13"/>
  <c r="A31" i="25"/>
  <c r="A37" i="8"/>
  <c r="A32" i="38" s="1"/>
  <c r="A32" i="28"/>
  <c r="A33" i="19"/>
  <c r="A32" i="32"/>
  <c r="A32" i="30"/>
  <c r="A32" i="3"/>
  <c r="A32" i="29"/>
  <c r="A32" i="36"/>
  <c r="A37" i="42" s="1"/>
  <c r="B57" i="43" s="1"/>
  <c r="A32" i="14"/>
  <c r="A32" i="31"/>
  <c r="A35" i="12"/>
  <c r="J20" i="37"/>
  <c r="K20" i="37" s="1"/>
  <c r="L20" i="37" s="1"/>
  <c r="M20" i="37" s="1"/>
  <c r="N20" i="37" s="1"/>
  <c r="J24" i="37"/>
  <c r="K24" i="37" s="1"/>
  <c r="L24" i="37" s="1"/>
  <c r="M24" i="37" s="1"/>
  <c r="N24" i="37" s="1"/>
  <c r="FJ43" i="37" l="1"/>
  <c r="FD8" i="37"/>
  <c r="J37" i="37"/>
  <c r="K37" i="37" s="1"/>
  <c r="L37" i="37" s="1"/>
  <c r="M37" i="37" s="1"/>
  <c r="N37" i="37" s="1"/>
  <c r="J38" i="37"/>
  <c r="K38" i="37" s="1"/>
  <c r="L38" i="37" s="1"/>
  <c r="M38" i="37" s="1"/>
  <c r="N38" i="37" s="1"/>
  <c r="J39" i="37"/>
  <c r="K39" i="37" s="1"/>
  <c r="L39" i="37" s="1"/>
  <c r="M39" i="37" s="1"/>
  <c r="N39" i="37" s="1"/>
  <c r="J17" i="37"/>
  <c r="K17" i="37" s="1"/>
  <c r="L17" i="37" s="1"/>
  <c r="M17" i="37" s="1"/>
  <c r="N17" i="37" s="1"/>
  <c r="J31" i="37"/>
  <c r="K31" i="37" s="1"/>
  <c r="L31" i="37" s="1"/>
  <c r="M31" i="37" s="1"/>
  <c r="N31" i="37" s="1"/>
  <c r="J10" i="37"/>
  <c r="K10" i="37" s="1"/>
  <c r="L10" i="37" s="1"/>
  <c r="M10" i="37" s="1"/>
  <c r="N10" i="37" s="1"/>
  <c r="J15" i="37"/>
  <c r="K15" i="37" s="1"/>
  <c r="L15" i="37" s="1"/>
  <c r="M15" i="37" s="1"/>
  <c r="N15" i="37" s="1"/>
  <c r="J32" i="37"/>
  <c r="K32" i="37" s="1"/>
  <c r="L32" i="37" s="1"/>
  <c r="M32" i="37" s="1"/>
  <c r="N32" i="37" s="1"/>
  <c r="J33" i="37"/>
  <c r="K33" i="37" s="1"/>
  <c r="L33" i="37" s="1"/>
  <c r="M33" i="37" s="1"/>
  <c r="N33" i="37" s="1"/>
  <c r="J34" i="37"/>
  <c r="K34" i="37" s="1"/>
  <c r="L34" i="37" s="1"/>
  <c r="M34" i="37" s="1"/>
  <c r="N34" i="37" s="1"/>
  <c r="J27" i="37"/>
  <c r="K27" i="37" s="1"/>
  <c r="L27" i="37" s="1"/>
  <c r="M27" i="37" s="1"/>
  <c r="N27" i="37" s="1"/>
  <c r="J22" i="37"/>
  <c r="K22" i="37" s="1"/>
  <c r="L22" i="37" s="1"/>
  <c r="M22" i="37" s="1"/>
  <c r="N22" i="37" s="1"/>
  <c r="J29" i="37"/>
  <c r="K29" i="37" s="1"/>
  <c r="L29" i="37" s="1"/>
  <c r="M29" i="37" s="1"/>
  <c r="N29" i="37" s="1"/>
  <c r="J30" i="37"/>
  <c r="K30" i="37" s="1"/>
  <c r="L30" i="37" s="1"/>
  <c r="M30" i="37" s="1"/>
  <c r="N30" i="37" s="1"/>
  <c r="J11" i="37"/>
  <c r="K11" i="37" s="1"/>
  <c r="L11" i="37" s="1"/>
  <c r="M11" i="37" s="1"/>
  <c r="N11" i="37" s="1"/>
  <c r="J12" i="37"/>
  <c r="K12" i="37" s="1"/>
  <c r="L12" i="37" s="1"/>
  <c r="M12" i="37" s="1"/>
  <c r="N12" i="37" s="1"/>
  <c r="J36" i="37"/>
  <c r="K36" i="37" s="1"/>
  <c r="L36" i="37" s="1"/>
  <c r="M36" i="37" s="1"/>
  <c r="N36" i="37" s="1"/>
  <c r="J28" i="37"/>
  <c r="K28" i="37" s="1"/>
  <c r="L28" i="37" s="1"/>
  <c r="M28" i="37" s="1"/>
  <c r="N28" i="37" s="1"/>
  <c r="J23" i="37"/>
  <c r="K23" i="37" s="1"/>
  <c r="L23" i="37" s="1"/>
  <c r="M23" i="37" s="1"/>
  <c r="N23" i="37" s="1"/>
  <c r="J16" i="37"/>
  <c r="K16" i="37" s="1"/>
  <c r="L16" i="37" s="1"/>
  <c r="M16" i="37" s="1"/>
  <c r="N16" i="37" s="1"/>
  <c r="J21" i="37"/>
  <c r="K21" i="37" s="1"/>
  <c r="L21" i="37" s="1"/>
  <c r="M21" i="37" s="1"/>
  <c r="N21" i="37" s="1"/>
  <c r="J26" i="37"/>
  <c r="K26" i="37" s="1"/>
  <c r="L26" i="37" s="1"/>
  <c r="M26" i="37" s="1"/>
  <c r="N26" i="37" s="1"/>
  <c r="J18" i="37"/>
  <c r="K18" i="37" s="1"/>
  <c r="L18" i="37" s="1"/>
  <c r="M18" i="37" s="1"/>
  <c r="N18" i="37" s="1"/>
  <c r="J35" i="37"/>
  <c r="K35" i="37" s="1"/>
  <c r="L35" i="37" s="1"/>
  <c r="M35" i="37" s="1"/>
  <c r="N35" i="37" s="1"/>
  <c r="J13" i="37"/>
  <c r="K13" i="37" s="1"/>
  <c r="L13" i="37" s="1"/>
  <c r="M13" i="37" s="1"/>
  <c r="N13" i="37" s="1"/>
  <c r="J19" i="37"/>
  <c r="K19" i="37" s="1"/>
  <c r="L19" i="37" s="1"/>
  <c r="M19" i="37" s="1"/>
  <c r="N19" i="37" s="1"/>
  <c r="J25" i="37"/>
  <c r="K25" i="37" s="1"/>
  <c r="L25" i="37" s="1"/>
  <c r="M25" i="37" s="1"/>
  <c r="N25" i="37" s="1"/>
  <c r="J14" i="37"/>
  <c r="K14" i="37" s="1"/>
  <c r="L14" i="37" s="1"/>
  <c r="M14" i="37" s="1"/>
  <c r="N14" i="37" s="1"/>
  <c r="M9" i="37"/>
  <c r="A33" i="29"/>
  <c r="A38" i="20"/>
  <c r="A38" i="8"/>
  <c r="A33" i="38" s="1"/>
  <c r="A32" i="33"/>
  <c r="A36" i="37" s="1"/>
  <c r="A33" i="28"/>
  <c r="A36" i="12"/>
  <c r="A33" i="32"/>
  <c r="A33" i="3"/>
  <c r="A34" i="19"/>
  <c r="A32" i="25"/>
  <c r="A33" i="31"/>
  <c r="A36" i="13"/>
  <c r="A33" i="30"/>
  <c r="A33" i="14"/>
  <c r="A33" i="36"/>
  <c r="A38" i="42" s="1"/>
  <c r="B58" i="43" s="1"/>
  <c r="FP43" i="37" l="1"/>
  <c r="FJ8" i="37"/>
  <c r="J42" i="37"/>
  <c r="L42" i="37"/>
  <c r="O20" i="37"/>
  <c r="P20" i="37" s="1"/>
  <c r="N9" i="37"/>
  <c r="M42" i="37"/>
  <c r="A34" i="36"/>
  <c r="A39" i="42" s="1"/>
  <c r="B59" i="43" s="1"/>
  <c r="A34" i="32"/>
  <c r="A34" i="14"/>
  <c r="A39" i="20"/>
  <c r="A34" i="3"/>
  <c r="A33" i="33"/>
  <c r="A37" i="37" s="1"/>
  <c r="A34" i="29"/>
  <c r="A33" i="25"/>
  <c r="A34" i="31"/>
  <c r="A34" i="30"/>
  <c r="A39" i="8"/>
  <c r="A34" i="38" s="1"/>
  <c r="A35" i="19"/>
  <c r="A37" i="13"/>
  <c r="A34" i="28"/>
  <c r="A37" i="12"/>
  <c r="O24" i="37"/>
  <c r="P24" i="37" s="1"/>
  <c r="FV43" i="37" l="1"/>
  <c r="FP8" i="37"/>
  <c r="O14" i="37"/>
  <c r="P14" i="37" s="1"/>
  <c r="Q14" i="37" s="1"/>
  <c r="R14" i="37" s="1"/>
  <c r="S14" i="37" s="1"/>
  <c r="T14" i="37" s="1"/>
  <c r="O37" i="37"/>
  <c r="P37" i="37" s="1"/>
  <c r="O38" i="37"/>
  <c r="P38" i="37" s="1"/>
  <c r="O39" i="37"/>
  <c r="P39" i="37" s="1"/>
  <c r="O12" i="37"/>
  <c r="P12" i="37" s="1"/>
  <c r="Q12" i="37" s="1"/>
  <c r="R12" i="37" s="1"/>
  <c r="S12" i="37" s="1"/>
  <c r="T12" i="37" s="1"/>
  <c r="O17" i="37"/>
  <c r="P17" i="37" s="1"/>
  <c r="Q17" i="37" s="1"/>
  <c r="R17" i="37" s="1"/>
  <c r="S17" i="37" s="1"/>
  <c r="T17" i="37" s="1"/>
  <c r="O13" i="37"/>
  <c r="P13" i="37" s="1"/>
  <c r="Q13" i="37" s="1"/>
  <c r="R13" i="37" s="1"/>
  <c r="S13" i="37" s="1"/>
  <c r="T13" i="37" s="1"/>
  <c r="O18" i="37"/>
  <c r="P18" i="37" s="1"/>
  <c r="Q18" i="37" s="1"/>
  <c r="R18" i="37" s="1"/>
  <c r="S18" i="37" s="1"/>
  <c r="T18" i="37" s="1"/>
  <c r="O11" i="37"/>
  <c r="P11" i="37" s="1"/>
  <c r="Q11" i="37" s="1"/>
  <c r="R11" i="37" s="1"/>
  <c r="S11" i="37" s="1"/>
  <c r="T11" i="37" s="1"/>
  <c r="O15" i="37"/>
  <c r="P15" i="37" s="1"/>
  <c r="Q15" i="37" s="1"/>
  <c r="R15" i="37" s="1"/>
  <c r="S15" i="37" s="1"/>
  <c r="T15" i="37" s="1"/>
  <c r="O29" i="37"/>
  <c r="P29" i="37" s="1"/>
  <c r="Q29" i="37" s="1"/>
  <c r="R29" i="37" s="1"/>
  <c r="S29" i="37" s="1"/>
  <c r="T29" i="37" s="1"/>
  <c r="O33" i="37"/>
  <c r="P33" i="37" s="1"/>
  <c r="Q33" i="37" s="1"/>
  <c r="R33" i="37" s="1"/>
  <c r="S33" i="37" s="1"/>
  <c r="T33" i="37" s="1"/>
  <c r="O30" i="37"/>
  <c r="P30" i="37" s="1"/>
  <c r="Q30" i="37" s="1"/>
  <c r="R30" i="37" s="1"/>
  <c r="S30" i="37" s="1"/>
  <c r="T30" i="37" s="1"/>
  <c r="O26" i="37"/>
  <c r="P26" i="37" s="1"/>
  <c r="Q26" i="37" s="1"/>
  <c r="R26" i="37" s="1"/>
  <c r="S26" i="37" s="1"/>
  <c r="T26" i="37" s="1"/>
  <c r="O35" i="37"/>
  <c r="P35" i="37" s="1"/>
  <c r="Q35" i="37" s="1"/>
  <c r="R35" i="37" s="1"/>
  <c r="S35" i="37" s="1"/>
  <c r="T35" i="37" s="1"/>
  <c r="O21" i="37"/>
  <c r="P21" i="37" s="1"/>
  <c r="Q21" i="37" s="1"/>
  <c r="R21" i="37" s="1"/>
  <c r="S21" i="37" s="1"/>
  <c r="T21" i="37" s="1"/>
  <c r="O16" i="37"/>
  <c r="P16" i="37" s="1"/>
  <c r="Q16" i="37" s="1"/>
  <c r="R16" i="37" s="1"/>
  <c r="S16" i="37" s="1"/>
  <c r="T16" i="37" s="1"/>
  <c r="O31" i="37"/>
  <c r="P31" i="37" s="1"/>
  <c r="Q31" i="37" s="1"/>
  <c r="R31" i="37" s="1"/>
  <c r="S31" i="37" s="1"/>
  <c r="T31" i="37" s="1"/>
  <c r="O23" i="37"/>
  <c r="P23" i="37" s="1"/>
  <c r="Q23" i="37" s="1"/>
  <c r="R23" i="37" s="1"/>
  <c r="S23" i="37" s="1"/>
  <c r="T23" i="37" s="1"/>
  <c r="O19" i="37"/>
  <c r="P19" i="37" s="1"/>
  <c r="Q19" i="37" s="1"/>
  <c r="R19" i="37" s="1"/>
  <c r="S19" i="37" s="1"/>
  <c r="T19" i="37" s="1"/>
  <c r="O34" i="37"/>
  <c r="P34" i="37" s="1"/>
  <c r="Q34" i="37" s="1"/>
  <c r="R34" i="37" s="1"/>
  <c r="S34" i="37" s="1"/>
  <c r="T34" i="37" s="1"/>
  <c r="O10" i="37"/>
  <c r="P10" i="37" s="1"/>
  <c r="Q10" i="37" s="1"/>
  <c r="R10" i="37" s="1"/>
  <c r="S10" i="37" s="1"/>
  <c r="T10" i="37" s="1"/>
  <c r="O36" i="37"/>
  <c r="P36" i="37" s="1"/>
  <c r="Q36" i="37" s="1"/>
  <c r="R36" i="37" s="1"/>
  <c r="S36" i="37" s="1"/>
  <c r="T36" i="37" s="1"/>
  <c r="O27" i="37"/>
  <c r="P27" i="37" s="1"/>
  <c r="Q27" i="37" s="1"/>
  <c r="R27" i="37" s="1"/>
  <c r="S27" i="37" s="1"/>
  <c r="T27" i="37" s="1"/>
  <c r="O32" i="37"/>
  <c r="P32" i="37" s="1"/>
  <c r="Q32" i="37" s="1"/>
  <c r="R32" i="37" s="1"/>
  <c r="S32" i="37" s="1"/>
  <c r="T32" i="37" s="1"/>
  <c r="O22" i="37"/>
  <c r="P22" i="37" s="1"/>
  <c r="Q22" i="37" s="1"/>
  <c r="R22" i="37" s="1"/>
  <c r="S22" i="37" s="1"/>
  <c r="T22" i="37" s="1"/>
  <c r="O28" i="37"/>
  <c r="P28" i="37" s="1"/>
  <c r="Q28" i="37" s="1"/>
  <c r="R28" i="37" s="1"/>
  <c r="S28" i="37" s="1"/>
  <c r="T28" i="37" s="1"/>
  <c r="O25" i="37"/>
  <c r="P25" i="37" s="1"/>
  <c r="Q25" i="37" s="1"/>
  <c r="R25" i="37" s="1"/>
  <c r="S25" i="37" s="1"/>
  <c r="T25" i="37" s="1"/>
  <c r="Q24" i="37"/>
  <c r="R24" i="37" s="1"/>
  <c r="S24" i="37" s="1"/>
  <c r="T24" i="37" s="1"/>
  <c r="A35" i="30"/>
  <c r="A35" i="32"/>
  <c r="A35" i="31"/>
  <c r="A36" i="19"/>
  <c r="A35" i="14"/>
  <c r="A38" i="13"/>
  <c r="A38" i="12"/>
  <c r="A35" i="28"/>
  <c r="A35" i="36"/>
  <c r="A40" i="42" s="1"/>
  <c r="B60" i="43" s="1"/>
  <c r="A35" i="29"/>
  <c r="A34" i="33"/>
  <c r="A38" i="37" s="1"/>
  <c r="A40" i="20"/>
  <c r="A35" i="3"/>
  <c r="A34" i="25"/>
  <c r="A40" i="8"/>
  <c r="A35" i="38" s="1"/>
  <c r="O9" i="37"/>
  <c r="N42" i="37"/>
  <c r="Q20" i="37"/>
  <c r="R20" i="37" s="1"/>
  <c r="S20" i="37" s="1"/>
  <c r="T20" i="37" s="1"/>
  <c r="GB43" i="37" l="1"/>
  <c r="FV8" i="37"/>
  <c r="Q39" i="37"/>
  <c r="R39" i="37" s="1"/>
  <c r="S39" i="37" s="1"/>
  <c r="T39" i="37" s="1"/>
  <c r="Q38" i="37"/>
  <c r="R38" i="37" s="1"/>
  <c r="S38" i="37" s="1"/>
  <c r="T38" i="37" s="1"/>
  <c r="Q37" i="37"/>
  <c r="R37" i="37" s="1"/>
  <c r="S37" i="37" s="1"/>
  <c r="T37" i="37" s="1"/>
  <c r="O42" i="37"/>
  <c r="P9" i="37"/>
  <c r="A35" i="33"/>
  <c r="A39" i="37" s="1"/>
  <c r="A36" i="28"/>
  <c r="A36" i="36"/>
  <c r="A41" i="42" s="1"/>
  <c r="B61" i="43" s="1"/>
  <c r="A37" i="19"/>
  <c r="A36" i="32"/>
  <c r="A39" i="13"/>
  <c r="A36" i="3"/>
  <c r="A36" i="14"/>
  <c r="A41" i="8"/>
  <c r="A36" i="38" s="1"/>
  <c r="A35" i="25"/>
  <c r="A39" i="12"/>
  <c r="A36" i="31"/>
  <c r="A41" i="20"/>
  <c r="A36" i="29"/>
  <c r="A36" i="30"/>
  <c r="GH43" i="37" l="1"/>
  <c r="GB8" i="37"/>
  <c r="Q9" i="37"/>
  <c r="R9" i="37" s="1"/>
  <c r="P42" i="37"/>
  <c r="A40" i="13"/>
  <c r="A37" i="28"/>
  <c r="A36" i="25"/>
  <c r="A42" i="8"/>
  <c r="A37" i="38" s="1"/>
  <c r="A46" i="1"/>
  <c r="A37" i="29"/>
  <c r="A38" i="19"/>
  <c r="A42" i="20"/>
  <c r="A37" i="14"/>
  <c r="A37" i="36"/>
  <c r="A42" i="42" s="1"/>
  <c r="B62" i="43" s="1"/>
  <c r="A37" i="3"/>
  <c r="A37" i="31"/>
  <c r="A37" i="32"/>
  <c r="A36" i="33"/>
  <c r="A40" i="37" s="1"/>
  <c r="A40" i="12"/>
  <c r="A37" i="30"/>
  <c r="GH8" i="37" l="1"/>
  <c r="GN43" i="37"/>
  <c r="S9" i="37"/>
  <c r="R42" i="37"/>
  <c r="A38" i="31"/>
  <c r="A37" i="25"/>
  <c r="A37" i="33"/>
  <c r="A41" i="37" s="1"/>
  <c r="A38" i="28"/>
  <c r="A38" i="30"/>
  <c r="A41" i="12"/>
  <c r="A43" i="20"/>
  <c r="A38" i="3"/>
  <c r="A38" i="14"/>
  <c r="A43" i="8"/>
  <c r="A38" i="38" s="1"/>
  <c r="A38" i="32"/>
  <c r="A38" i="29"/>
  <c r="A39" i="19"/>
  <c r="A41" i="13"/>
  <c r="A38" i="36"/>
  <c r="A43" i="42" s="1"/>
  <c r="B63" i="43" s="1"/>
  <c r="GT43" i="37" l="1"/>
  <c r="GN8" i="37"/>
  <c r="U38" i="37"/>
  <c r="V38" i="37" s="1"/>
  <c r="W38" i="37" s="1"/>
  <c r="X38" i="37" s="1"/>
  <c r="Y38" i="37" s="1"/>
  <c r="Z38" i="37" s="1"/>
  <c r="U39" i="37"/>
  <c r="V39" i="37" s="1"/>
  <c r="W39" i="37" s="1"/>
  <c r="X39" i="37" s="1"/>
  <c r="Y39" i="37" s="1"/>
  <c r="Z39" i="37" s="1"/>
  <c r="U37" i="37"/>
  <c r="V37" i="37" s="1"/>
  <c r="W37" i="37" s="1"/>
  <c r="X37" i="37" s="1"/>
  <c r="Y37" i="37" s="1"/>
  <c r="Z37" i="37" s="1"/>
  <c r="U19" i="37"/>
  <c r="V19" i="37" s="1"/>
  <c r="W19" i="37" s="1"/>
  <c r="X19" i="37" s="1"/>
  <c r="Y19" i="37" s="1"/>
  <c r="Z19" i="37" s="1"/>
  <c r="U25" i="37"/>
  <c r="V25" i="37" s="1"/>
  <c r="W25" i="37" s="1"/>
  <c r="X25" i="37" s="1"/>
  <c r="Y25" i="37" s="1"/>
  <c r="Z25" i="37" s="1"/>
  <c r="U14" i="37"/>
  <c r="V14" i="37" s="1"/>
  <c r="W14" i="37" s="1"/>
  <c r="X14" i="37" s="1"/>
  <c r="Y14" i="37" s="1"/>
  <c r="Z14" i="37" s="1"/>
  <c r="U23" i="37"/>
  <c r="V23" i="37" s="1"/>
  <c r="W23" i="37" s="1"/>
  <c r="X23" i="37" s="1"/>
  <c r="Y23" i="37" s="1"/>
  <c r="Z23" i="37" s="1"/>
  <c r="U28" i="37"/>
  <c r="V28" i="37" s="1"/>
  <c r="W28" i="37" s="1"/>
  <c r="X28" i="37" s="1"/>
  <c r="Y28" i="37" s="1"/>
  <c r="Z28" i="37" s="1"/>
  <c r="U27" i="37"/>
  <c r="V27" i="37" s="1"/>
  <c r="W27" i="37" s="1"/>
  <c r="X27" i="37" s="1"/>
  <c r="Y27" i="37" s="1"/>
  <c r="Z27" i="37" s="1"/>
  <c r="U32" i="37"/>
  <c r="V32" i="37" s="1"/>
  <c r="W32" i="37" s="1"/>
  <c r="X32" i="37" s="1"/>
  <c r="Y32" i="37" s="1"/>
  <c r="Z32" i="37" s="1"/>
  <c r="U10" i="37"/>
  <c r="V10" i="37" s="1"/>
  <c r="W10" i="37" s="1"/>
  <c r="X10" i="37" s="1"/>
  <c r="Y10" i="37" s="1"/>
  <c r="Z10" i="37" s="1"/>
  <c r="U13" i="37"/>
  <c r="V13" i="37" s="1"/>
  <c r="W13" i="37" s="1"/>
  <c r="X13" i="37" s="1"/>
  <c r="Y13" i="37" s="1"/>
  <c r="Z13" i="37" s="1"/>
  <c r="U18" i="37"/>
  <c r="V18" i="37" s="1"/>
  <c r="W18" i="37" s="1"/>
  <c r="X18" i="37" s="1"/>
  <c r="Y18" i="37" s="1"/>
  <c r="Z18" i="37" s="1"/>
  <c r="U26" i="37"/>
  <c r="V26" i="37" s="1"/>
  <c r="W26" i="37" s="1"/>
  <c r="X26" i="37" s="1"/>
  <c r="Y26" i="37" s="1"/>
  <c r="Z26" i="37" s="1"/>
  <c r="U11" i="37"/>
  <c r="V11" i="37" s="1"/>
  <c r="W11" i="37" s="1"/>
  <c r="X11" i="37" s="1"/>
  <c r="Y11" i="37" s="1"/>
  <c r="Z11" i="37" s="1"/>
  <c r="U35" i="37"/>
  <c r="V35" i="37" s="1"/>
  <c r="W35" i="37" s="1"/>
  <c r="X35" i="37" s="1"/>
  <c r="Y35" i="37" s="1"/>
  <c r="Z35" i="37" s="1"/>
  <c r="U20" i="37"/>
  <c r="V20" i="37" s="1"/>
  <c r="W20" i="37" s="1"/>
  <c r="X20" i="37" s="1"/>
  <c r="Y20" i="37" s="1"/>
  <c r="Z20" i="37" s="1"/>
  <c r="U22" i="37"/>
  <c r="V22" i="37" s="1"/>
  <c r="W22" i="37" s="1"/>
  <c r="X22" i="37" s="1"/>
  <c r="Y22" i="37" s="1"/>
  <c r="Z22" i="37" s="1"/>
  <c r="U36" i="37"/>
  <c r="V36" i="37" s="1"/>
  <c r="W36" i="37" s="1"/>
  <c r="X36" i="37" s="1"/>
  <c r="Y36" i="37" s="1"/>
  <c r="Z36" i="37" s="1"/>
  <c r="U24" i="37"/>
  <c r="V24" i="37" s="1"/>
  <c r="W24" i="37" s="1"/>
  <c r="X24" i="37" s="1"/>
  <c r="Y24" i="37" s="1"/>
  <c r="Z24" i="37" s="1"/>
  <c r="U30" i="37"/>
  <c r="V30" i="37" s="1"/>
  <c r="W30" i="37" s="1"/>
  <c r="X30" i="37" s="1"/>
  <c r="Y30" i="37" s="1"/>
  <c r="Z30" i="37" s="1"/>
  <c r="U16" i="37"/>
  <c r="V16" i="37" s="1"/>
  <c r="W16" i="37" s="1"/>
  <c r="X16" i="37" s="1"/>
  <c r="Y16" i="37" s="1"/>
  <c r="Z16" i="37" s="1"/>
  <c r="U21" i="37"/>
  <c r="V21" i="37" s="1"/>
  <c r="W21" i="37" s="1"/>
  <c r="X21" i="37" s="1"/>
  <c r="Y21" i="37" s="1"/>
  <c r="Z21" i="37" s="1"/>
  <c r="U31" i="37"/>
  <c r="V31" i="37" s="1"/>
  <c r="W31" i="37" s="1"/>
  <c r="X31" i="37" s="1"/>
  <c r="Y31" i="37" s="1"/>
  <c r="Z31" i="37" s="1"/>
  <c r="U33" i="37"/>
  <c r="V33" i="37" s="1"/>
  <c r="W33" i="37" s="1"/>
  <c r="X33" i="37" s="1"/>
  <c r="Y33" i="37" s="1"/>
  <c r="Z33" i="37" s="1"/>
  <c r="U29" i="37"/>
  <c r="V29" i="37" s="1"/>
  <c r="W29" i="37" s="1"/>
  <c r="X29" i="37" s="1"/>
  <c r="Y29" i="37" s="1"/>
  <c r="Z29" i="37" s="1"/>
  <c r="U34" i="37"/>
  <c r="V34" i="37" s="1"/>
  <c r="W34" i="37" s="1"/>
  <c r="X34" i="37" s="1"/>
  <c r="Y34" i="37" s="1"/>
  <c r="Z34" i="37" s="1"/>
  <c r="U12" i="37"/>
  <c r="V12" i="37" s="1"/>
  <c r="W12" i="37" s="1"/>
  <c r="X12" i="37" s="1"/>
  <c r="Y12" i="37" s="1"/>
  <c r="Z12" i="37" s="1"/>
  <c r="U15" i="37"/>
  <c r="V15" i="37" s="1"/>
  <c r="W15" i="37" s="1"/>
  <c r="X15" i="37" s="1"/>
  <c r="Y15" i="37" s="1"/>
  <c r="Z15" i="37" s="1"/>
  <c r="U17" i="37"/>
  <c r="V17" i="37" s="1"/>
  <c r="W17" i="37" s="1"/>
  <c r="X17" i="37" s="1"/>
  <c r="Y17" i="37" s="1"/>
  <c r="Z17" i="37" s="1"/>
  <c r="S42" i="37"/>
  <c r="T9" i="37"/>
  <c r="GT8" i="37" l="1"/>
  <c r="GZ43" i="37"/>
  <c r="GZ8" i="37" s="1"/>
  <c r="U9" i="37"/>
  <c r="T42" i="37"/>
  <c r="V9" i="37" l="1"/>
  <c r="U42" i="37"/>
  <c r="W9" i="37" l="1"/>
  <c r="X9" i="37" s="1"/>
  <c r="V42" i="37"/>
  <c r="Y9" i="37" l="1"/>
  <c r="X42" i="37"/>
  <c r="AA37" i="37" l="1"/>
  <c r="AB37" i="37" s="1"/>
  <c r="AC37" i="37" s="1"/>
  <c r="AD37" i="37" s="1"/>
  <c r="AE37" i="37" s="1"/>
  <c r="AF37" i="37" s="1"/>
  <c r="AA39" i="37"/>
  <c r="AB39" i="37" s="1"/>
  <c r="AC39" i="37" s="1"/>
  <c r="AD39" i="37" s="1"/>
  <c r="AE39" i="37" s="1"/>
  <c r="AF39" i="37" s="1"/>
  <c r="AA38" i="37"/>
  <c r="AB38" i="37" s="1"/>
  <c r="AC38" i="37" s="1"/>
  <c r="AD38" i="37" s="1"/>
  <c r="AE38" i="37" s="1"/>
  <c r="AF38" i="37" s="1"/>
  <c r="AA25" i="37"/>
  <c r="AB25" i="37" s="1"/>
  <c r="AC25" i="37" s="1"/>
  <c r="AD25" i="37" s="1"/>
  <c r="AE25" i="37" s="1"/>
  <c r="AF25" i="37" s="1"/>
  <c r="AA19" i="37"/>
  <c r="AB19" i="37" s="1"/>
  <c r="AC19" i="37" s="1"/>
  <c r="AD19" i="37" s="1"/>
  <c r="AE19" i="37" s="1"/>
  <c r="AF19" i="37" s="1"/>
  <c r="AA15" i="37"/>
  <c r="AB15" i="37" s="1"/>
  <c r="AC15" i="37" s="1"/>
  <c r="AD15" i="37" s="1"/>
  <c r="AE15" i="37" s="1"/>
  <c r="AF15" i="37" s="1"/>
  <c r="AA18" i="37"/>
  <c r="AB18" i="37" s="1"/>
  <c r="AC18" i="37" s="1"/>
  <c r="AD18" i="37" s="1"/>
  <c r="AE18" i="37" s="1"/>
  <c r="AF18" i="37" s="1"/>
  <c r="AA24" i="37"/>
  <c r="AB24" i="37" s="1"/>
  <c r="AC24" i="37" s="1"/>
  <c r="AD24" i="37" s="1"/>
  <c r="AE24" i="37" s="1"/>
  <c r="AF24" i="37" s="1"/>
  <c r="AA36" i="37"/>
  <c r="AB36" i="37" s="1"/>
  <c r="AC36" i="37" s="1"/>
  <c r="AD36" i="37" s="1"/>
  <c r="AE36" i="37" s="1"/>
  <c r="AF36" i="37" s="1"/>
  <c r="AA26" i="37"/>
  <c r="AB26" i="37" s="1"/>
  <c r="AC26" i="37" s="1"/>
  <c r="AD26" i="37" s="1"/>
  <c r="AE26" i="37" s="1"/>
  <c r="AF26" i="37" s="1"/>
  <c r="AA33" i="37"/>
  <c r="AB33" i="37" s="1"/>
  <c r="AC33" i="37" s="1"/>
  <c r="AD33" i="37" s="1"/>
  <c r="AE33" i="37" s="1"/>
  <c r="AF33" i="37" s="1"/>
  <c r="AA27" i="37"/>
  <c r="AB27" i="37" s="1"/>
  <c r="AC27" i="37" s="1"/>
  <c r="AD27" i="37" s="1"/>
  <c r="AE27" i="37" s="1"/>
  <c r="AF27" i="37" s="1"/>
  <c r="AA35" i="37"/>
  <c r="AB35" i="37" s="1"/>
  <c r="AC35" i="37" s="1"/>
  <c r="AD35" i="37" s="1"/>
  <c r="AE35" i="37" s="1"/>
  <c r="AF35" i="37" s="1"/>
  <c r="AA11" i="37"/>
  <c r="AB11" i="37" s="1"/>
  <c r="AC11" i="37" s="1"/>
  <c r="AD11" i="37" s="1"/>
  <c r="AE11" i="37" s="1"/>
  <c r="AF11" i="37" s="1"/>
  <c r="AA29" i="37"/>
  <c r="AB29" i="37" s="1"/>
  <c r="AC29" i="37" s="1"/>
  <c r="AD29" i="37" s="1"/>
  <c r="AE29" i="37" s="1"/>
  <c r="AF29" i="37" s="1"/>
  <c r="AA30" i="37"/>
  <c r="AB30" i="37" s="1"/>
  <c r="AC30" i="37" s="1"/>
  <c r="AD30" i="37" s="1"/>
  <c r="AE30" i="37" s="1"/>
  <c r="AF30" i="37" s="1"/>
  <c r="AA12" i="37"/>
  <c r="AB12" i="37" s="1"/>
  <c r="AC12" i="37" s="1"/>
  <c r="AD12" i="37" s="1"/>
  <c r="AE12" i="37" s="1"/>
  <c r="AF12" i="37" s="1"/>
  <c r="AA13" i="37"/>
  <c r="AB13" i="37" s="1"/>
  <c r="AC13" i="37" s="1"/>
  <c r="AD13" i="37" s="1"/>
  <c r="AE13" i="37" s="1"/>
  <c r="AF13" i="37" s="1"/>
  <c r="AA34" i="37"/>
  <c r="AB34" i="37" s="1"/>
  <c r="AC34" i="37" s="1"/>
  <c r="AD34" i="37" s="1"/>
  <c r="AE34" i="37" s="1"/>
  <c r="AF34" i="37" s="1"/>
  <c r="AA10" i="37"/>
  <c r="AB10" i="37" s="1"/>
  <c r="AC10" i="37" s="1"/>
  <c r="AD10" i="37" s="1"/>
  <c r="AE10" i="37" s="1"/>
  <c r="AF10" i="37" s="1"/>
  <c r="AA16" i="37"/>
  <c r="AB16" i="37" s="1"/>
  <c r="AC16" i="37" s="1"/>
  <c r="AD16" i="37" s="1"/>
  <c r="AE16" i="37" s="1"/>
  <c r="AF16" i="37" s="1"/>
  <c r="AA14" i="37"/>
  <c r="AB14" i="37" s="1"/>
  <c r="AC14" i="37" s="1"/>
  <c r="AD14" i="37" s="1"/>
  <c r="AE14" i="37" s="1"/>
  <c r="AF14" i="37" s="1"/>
  <c r="AA20" i="37"/>
  <c r="AB20" i="37" s="1"/>
  <c r="AC20" i="37" s="1"/>
  <c r="AD20" i="37" s="1"/>
  <c r="AE20" i="37" s="1"/>
  <c r="AF20" i="37" s="1"/>
  <c r="AA31" i="37"/>
  <c r="AB31" i="37" s="1"/>
  <c r="AC31" i="37" s="1"/>
  <c r="AD31" i="37" s="1"/>
  <c r="AE31" i="37" s="1"/>
  <c r="AF31" i="37" s="1"/>
  <c r="AA28" i="37"/>
  <c r="AB28" i="37" s="1"/>
  <c r="AC28" i="37" s="1"/>
  <c r="AD28" i="37" s="1"/>
  <c r="AE28" i="37" s="1"/>
  <c r="AF28" i="37" s="1"/>
  <c r="AA21" i="37"/>
  <c r="AB21" i="37" s="1"/>
  <c r="AC21" i="37" s="1"/>
  <c r="AD21" i="37" s="1"/>
  <c r="AE21" i="37" s="1"/>
  <c r="AF21" i="37" s="1"/>
  <c r="AA23" i="37"/>
  <c r="AB23" i="37" s="1"/>
  <c r="AC23" i="37" s="1"/>
  <c r="AD23" i="37" s="1"/>
  <c r="AE23" i="37" s="1"/>
  <c r="AF23" i="37" s="1"/>
  <c r="AA22" i="37"/>
  <c r="AB22" i="37" s="1"/>
  <c r="AC22" i="37" s="1"/>
  <c r="AD22" i="37" s="1"/>
  <c r="AE22" i="37" s="1"/>
  <c r="AF22" i="37" s="1"/>
  <c r="AA17" i="37"/>
  <c r="AB17" i="37" s="1"/>
  <c r="AC17" i="37" s="1"/>
  <c r="AD17" i="37" s="1"/>
  <c r="AE17" i="37" s="1"/>
  <c r="AF17" i="37" s="1"/>
  <c r="AA32" i="37"/>
  <c r="AB32" i="37" s="1"/>
  <c r="AC32" i="37" s="1"/>
  <c r="AD32" i="37" s="1"/>
  <c r="AE32" i="37" s="1"/>
  <c r="AF32" i="37" s="1"/>
  <c r="Y42" i="37"/>
  <c r="Z9" i="37"/>
  <c r="Z42" i="37" l="1"/>
  <c r="AA9" i="37"/>
  <c r="AA42" i="37" l="1"/>
  <c r="AB9" i="37"/>
  <c r="AC9" i="37" l="1"/>
  <c r="AD9" i="37" s="1"/>
  <c r="AB42" i="37"/>
  <c r="AE9" i="37" l="1"/>
  <c r="AD42" i="37"/>
  <c r="AG38" i="37" l="1"/>
  <c r="AH38" i="37" s="1"/>
  <c r="AI38" i="37" s="1"/>
  <c r="AJ38" i="37" s="1"/>
  <c r="AK38" i="37" s="1"/>
  <c r="AL38" i="37" s="1"/>
  <c r="AG39" i="37"/>
  <c r="AH39" i="37" s="1"/>
  <c r="AI39" i="37" s="1"/>
  <c r="AJ39" i="37" s="1"/>
  <c r="AK39" i="37" s="1"/>
  <c r="AL39" i="37" s="1"/>
  <c r="AG37" i="37"/>
  <c r="AH37" i="37" s="1"/>
  <c r="AI37" i="37" s="1"/>
  <c r="AJ37" i="37" s="1"/>
  <c r="AK37" i="37" s="1"/>
  <c r="AL37" i="37" s="1"/>
  <c r="AG19" i="37"/>
  <c r="AH19" i="37" s="1"/>
  <c r="AI19" i="37" s="1"/>
  <c r="AJ19" i="37" s="1"/>
  <c r="AK19" i="37" s="1"/>
  <c r="AL19" i="37" s="1"/>
  <c r="AG25" i="37"/>
  <c r="AH25" i="37" s="1"/>
  <c r="AI25" i="37" s="1"/>
  <c r="AJ25" i="37" s="1"/>
  <c r="AK25" i="37" s="1"/>
  <c r="AL25" i="37" s="1"/>
  <c r="AG17" i="37"/>
  <c r="AH17" i="37" s="1"/>
  <c r="AI17" i="37" s="1"/>
  <c r="AJ17" i="37" s="1"/>
  <c r="AK17" i="37" s="1"/>
  <c r="AL17" i="37" s="1"/>
  <c r="AG35" i="37"/>
  <c r="AH35" i="37" s="1"/>
  <c r="AI35" i="37" s="1"/>
  <c r="AJ35" i="37" s="1"/>
  <c r="AK35" i="37" s="1"/>
  <c r="AL35" i="37" s="1"/>
  <c r="AG10" i="37"/>
  <c r="AH10" i="37" s="1"/>
  <c r="AI10" i="37" s="1"/>
  <c r="AJ10" i="37" s="1"/>
  <c r="AK10" i="37" s="1"/>
  <c r="AL10" i="37" s="1"/>
  <c r="AG34" i="37"/>
  <c r="AH34" i="37" s="1"/>
  <c r="AI34" i="37" s="1"/>
  <c r="AJ34" i="37" s="1"/>
  <c r="AK34" i="37" s="1"/>
  <c r="AL34" i="37" s="1"/>
  <c r="AG32" i="37"/>
  <c r="AH32" i="37" s="1"/>
  <c r="AI32" i="37" s="1"/>
  <c r="AJ32" i="37" s="1"/>
  <c r="AK32" i="37" s="1"/>
  <c r="AL32" i="37" s="1"/>
  <c r="AG11" i="37"/>
  <c r="AH11" i="37" s="1"/>
  <c r="AI11" i="37" s="1"/>
  <c r="AJ11" i="37" s="1"/>
  <c r="AK11" i="37" s="1"/>
  <c r="AL11" i="37" s="1"/>
  <c r="AG15" i="37"/>
  <c r="AH15" i="37" s="1"/>
  <c r="AI15" i="37" s="1"/>
  <c r="AJ15" i="37" s="1"/>
  <c r="AK15" i="37" s="1"/>
  <c r="AL15" i="37" s="1"/>
  <c r="AG28" i="37"/>
  <c r="AH28" i="37" s="1"/>
  <c r="AI28" i="37" s="1"/>
  <c r="AJ28" i="37" s="1"/>
  <c r="AK28" i="37" s="1"/>
  <c r="AL28" i="37" s="1"/>
  <c r="AG36" i="37"/>
  <c r="AH36" i="37" s="1"/>
  <c r="AI36" i="37" s="1"/>
  <c r="AJ36" i="37" s="1"/>
  <c r="AK36" i="37" s="1"/>
  <c r="AL36" i="37" s="1"/>
  <c r="AG30" i="37"/>
  <c r="AH30" i="37" s="1"/>
  <c r="AI30" i="37" s="1"/>
  <c r="AJ30" i="37" s="1"/>
  <c r="AK30" i="37" s="1"/>
  <c r="AL30" i="37" s="1"/>
  <c r="AG21" i="37"/>
  <c r="AH21" i="37" s="1"/>
  <c r="AI21" i="37" s="1"/>
  <c r="AJ21" i="37" s="1"/>
  <c r="AK21" i="37" s="1"/>
  <c r="AL21" i="37" s="1"/>
  <c r="AG16" i="37"/>
  <c r="AH16" i="37" s="1"/>
  <c r="AI16" i="37" s="1"/>
  <c r="AJ16" i="37" s="1"/>
  <c r="AK16" i="37" s="1"/>
  <c r="AL16" i="37" s="1"/>
  <c r="AG22" i="37"/>
  <c r="AH22" i="37" s="1"/>
  <c r="AI22" i="37" s="1"/>
  <c r="AJ22" i="37" s="1"/>
  <c r="AK22" i="37" s="1"/>
  <c r="AL22" i="37" s="1"/>
  <c r="AG27" i="37"/>
  <c r="AH27" i="37" s="1"/>
  <c r="AI27" i="37" s="1"/>
  <c r="AJ27" i="37" s="1"/>
  <c r="AK27" i="37" s="1"/>
  <c r="AL27" i="37" s="1"/>
  <c r="AG23" i="37"/>
  <c r="AH23" i="37" s="1"/>
  <c r="AI23" i="37" s="1"/>
  <c r="AJ23" i="37" s="1"/>
  <c r="AK23" i="37" s="1"/>
  <c r="AL23" i="37" s="1"/>
  <c r="AG33" i="37"/>
  <c r="AH33" i="37" s="1"/>
  <c r="AI33" i="37" s="1"/>
  <c r="AJ33" i="37" s="1"/>
  <c r="AK33" i="37" s="1"/>
  <c r="AL33" i="37" s="1"/>
  <c r="AG14" i="37"/>
  <c r="AH14" i="37" s="1"/>
  <c r="AI14" i="37" s="1"/>
  <c r="AJ14" i="37" s="1"/>
  <c r="AK14" i="37" s="1"/>
  <c r="AL14" i="37" s="1"/>
  <c r="AG12" i="37"/>
  <c r="AH12" i="37" s="1"/>
  <c r="AI12" i="37" s="1"/>
  <c r="AJ12" i="37" s="1"/>
  <c r="AK12" i="37" s="1"/>
  <c r="AL12" i="37" s="1"/>
  <c r="AG31" i="37"/>
  <c r="AH31" i="37" s="1"/>
  <c r="AI31" i="37" s="1"/>
  <c r="AJ31" i="37" s="1"/>
  <c r="AK31" i="37" s="1"/>
  <c r="AL31" i="37" s="1"/>
  <c r="AG24" i="37"/>
  <c r="AH24" i="37" s="1"/>
  <c r="AI24" i="37" s="1"/>
  <c r="AJ24" i="37" s="1"/>
  <c r="AK24" i="37" s="1"/>
  <c r="AL24" i="37" s="1"/>
  <c r="AG20" i="37"/>
  <c r="AH20" i="37" s="1"/>
  <c r="AI20" i="37" s="1"/>
  <c r="AJ20" i="37" s="1"/>
  <c r="AK20" i="37" s="1"/>
  <c r="AL20" i="37" s="1"/>
  <c r="AG18" i="37"/>
  <c r="AH18" i="37" s="1"/>
  <c r="AI18" i="37" s="1"/>
  <c r="AJ18" i="37" s="1"/>
  <c r="AK18" i="37" s="1"/>
  <c r="AL18" i="37" s="1"/>
  <c r="AG13" i="37"/>
  <c r="AH13" i="37" s="1"/>
  <c r="AI13" i="37" s="1"/>
  <c r="AJ13" i="37" s="1"/>
  <c r="AK13" i="37" s="1"/>
  <c r="AL13" i="37" s="1"/>
  <c r="AG29" i="37"/>
  <c r="AH29" i="37" s="1"/>
  <c r="AI29" i="37" s="1"/>
  <c r="AJ29" i="37" s="1"/>
  <c r="AK29" i="37" s="1"/>
  <c r="AL29" i="37" s="1"/>
  <c r="AG26" i="37"/>
  <c r="AH26" i="37" s="1"/>
  <c r="AI26" i="37" s="1"/>
  <c r="AJ26" i="37" s="1"/>
  <c r="AK26" i="37" s="1"/>
  <c r="AL26" i="37" s="1"/>
  <c r="AF9" i="37"/>
  <c r="AE42" i="37"/>
  <c r="AG9" i="37" l="1"/>
  <c r="AF42" i="37"/>
  <c r="AG42" i="37" l="1"/>
  <c r="AH9" i="37"/>
  <c r="AH42" i="37" l="1"/>
  <c r="AI9" i="37"/>
  <c r="AJ9" i="37" s="1"/>
  <c r="AJ42" i="37" l="1"/>
  <c r="AK9" i="37"/>
  <c r="AM37" i="37" l="1"/>
  <c r="AN37" i="37" s="1"/>
  <c r="AO37" i="37" s="1"/>
  <c r="AP37" i="37" s="1"/>
  <c r="AQ37" i="37" s="1"/>
  <c r="AR37" i="37" s="1"/>
  <c r="AM39" i="37"/>
  <c r="AN39" i="37" s="1"/>
  <c r="AO39" i="37" s="1"/>
  <c r="AP39" i="37" s="1"/>
  <c r="AQ39" i="37" s="1"/>
  <c r="AR39" i="37" s="1"/>
  <c r="AM38" i="37"/>
  <c r="AN38" i="37" s="1"/>
  <c r="AO38" i="37" s="1"/>
  <c r="AP38" i="37" s="1"/>
  <c r="AQ38" i="37" s="1"/>
  <c r="AR38" i="37" s="1"/>
  <c r="AM25" i="37"/>
  <c r="AN25" i="37" s="1"/>
  <c r="AO25" i="37" s="1"/>
  <c r="AP25" i="37" s="1"/>
  <c r="AQ25" i="37" s="1"/>
  <c r="AR25" i="37" s="1"/>
  <c r="AM19" i="37"/>
  <c r="AN19" i="37" s="1"/>
  <c r="AO19" i="37" s="1"/>
  <c r="AP19" i="37" s="1"/>
  <c r="AQ19" i="37" s="1"/>
  <c r="AR19" i="37" s="1"/>
  <c r="AL9" i="37"/>
  <c r="AK42" i="37"/>
  <c r="AM29" i="37"/>
  <c r="AN29" i="37" s="1"/>
  <c r="AO29" i="37" s="1"/>
  <c r="AP29" i="37" s="1"/>
  <c r="AQ29" i="37" s="1"/>
  <c r="AR29" i="37" s="1"/>
  <c r="AM28" i="37"/>
  <c r="AN28" i="37" s="1"/>
  <c r="AO28" i="37" s="1"/>
  <c r="AP28" i="37" s="1"/>
  <c r="AQ28" i="37" s="1"/>
  <c r="AR28" i="37" s="1"/>
  <c r="AM23" i="37"/>
  <c r="AN23" i="37" s="1"/>
  <c r="AO23" i="37" s="1"/>
  <c r="AP23" i="37" s="1"/>
  <c r="AQ23" i="37" s="1"/>
  <c r="AR23" i="37" s="1"/>
  <c r="AM36" i="37"/>
  <c r="AN36" i="37" s="1"/>
  <c r="AO36" i="37" s="1"/>
  <c r="AP36" i="37" s="1"/>
  <c r="AQ36" i="37" s="1"/>
  <c r="AR36" i="37" s="1"/>
  <c r="AM24" i="37"/>
  <c r="AN24" i="37" s="1"/>
  <c r="AO24" i="37" s="1"/>
  <c r="AP24" i="37" s="1"/>
  <c r="AQ24" i="37" s="1"/>
  <c r="AR24" i="37" s="1"/>
  <c r="AM34" i="37"/>
  <c r="AN34" i="37" s="1"/>
  <c r="AO34" i="37" s="1"/>
  <c r="AP34" i="37" s="1"/>
  <c r="AQ34" i="37" s="1"/>
  <c r="AR34" i="37" s="1"/>
  <c r="AM21" i="37"/>
  <c r="AN21" i="37" s="1"/>
  <c r="AO21" i="37" s="1"/>
  <c r="AP21" i="37" s="1"/>
  <c r="AQ21" i="37" s="1"/>
  <c r="AR21" i="37" s="1"/>
  <c r="AM30" i="37"/>
  <c r="AN30" i="37" s="1"/>
  <c r="AO30" i="37" s="1"/>
  <c r="AP30" i="37" s="1"/>
  <c r="AQ30" i="37" s="1"/>
  <c r="AR30" i="37" s="1"/>
  <c r="AM20" i="37"/>
  <c r="AN20" i="37" s="1"/>
  <c r="AO20" i="37" s="1"/>
  <c r="AP20" i="37" s="1"/>
  <c r="AQ20" i="37" s="1"/>
  <c r="AR20" i="37" s="1"/>
  <c r="AM32" i="37"/>
  <c r="AN32" i="37" s="1"/>
  <c r="AO32" i="37" s="1"/>
  <c r="AP32" i="37" s="1"/>
  <c r="AQ32" i="37" s="1"/>
  <c r="AR32" i="37" s="1"/>
  <c r="AM33" i="37"/>
  <c r="AN33" i="37" s="1"/>
  <c r="AO33" i="37" s="1"/>
  <c r="AP33" i="37" s="1"/>
  <c r="AQ33" i="37" s="1"/>
  <c r="AR33" i="37" s="1"/>
  <c r="AM13" i="37"/>
  <c r="AN13" i="37" s="1"/>
  <c r="AO13" i="37" s="1"/>
  <c r="AP13" i="37" s="1"/>
  <c r="AQ13" i="37" s="1"/>
  <c r="AR13" i="37" s="1"/>
  <c r="AM15" i="37"/>
  <c r="AN15" i="37" s="1"/>
  <c r="AO15" i="37" s="1"/>
  <c r="AP15" i="37" s="1"/>
  <c r="AQ15" i="37" s="1"/>
  <c r="AR15" i="37" s="1"/>
  <c r="AM18" i="37"/>
  <c r="AN18" i="37" s="1"/>
  <c r="AO18" i="37" s="1"/>
  <c r="AP18" i="37" s="1"/>
  <c r="AQ18" i="37" s="1"/>
  <c r="AR18" i="37" s="1"/>
  <c r="AM11" i="37"/>
  <c r="AN11" i="37" s="1"/>
  <c r="AO11" i="37" s="1"/>
  <c r="AP11" i="37" s="1"/>
  <c r="AQ11" i="37" s="1"/>
  <c r="AR11" i="37" s="1"/>
  <c r="AM14" i="37"/>
  <c r="AN14" i="37" s="1"/>
  <c r="AO14" i="37" s="1"/>
  <c r="AP14" i="37" s="1"/>
  <c r="AQ14" i="37" s="1"/>
  <c r="AR14" i="37" s="1"/>
  <c r="AM17" i="37"/>
  <c r="AN17" i="37" s="1"/>
  <c r="AO17" i="37" s="1"/>
  <c r="AP17" i="37" s="1"/>
  <c r="AQ17" i="37" s="1"/>
  <c r="AR17" i="37" s="1"/>
  <c r="AM16" i="37"/>
  <c r="AN16" i="37" s="1"/>
  <c r="AO16" i="37" s="1"/>
  <c r="AP16" i="37" s="1"/>
  <c r="AQ16" i="37" s="1"/>
  <c r="AR16" i="37" s="1"/>
  <c r="AM31" i="37"/>
  <c r="AN31" i="37" s="1"/>
  <c r="AO31" i="37" s="1"/>
  <c r="AP31" i="37" s="1"/>
  <c r="AQ31" i="37" s="1"/>
  <c r="AR31" i="37" s="1"/>
  <c r="AM10" i="37"/>
  <c r="AN10" i="37" s="1"/>
  <c r="AO10" i="37" s="1"/>
  <c r="AP10" i="37" s="1"/>
  <c r="AQ10" i="37" s="1"/>
  <c r="AR10" i="37" s="1"/>
  <c r="AM12" i="37"/>
  <c r="AN12" i="37" s="1"/>
  <c r="AO12" i="37" s="1"/>
  <c r="AP12" i="37" s="1"/>
  <c r="AQ12" i="37" s="1"/>
  <c r="AR12" i="37" s="1"/>
  <c r="AM35" i="37"/>
  <c r="AN35" i="37" s="1"/>
  <c r="AO35" i="37" s="1"/>
  <c r="AP35" i="37" s="1"/>
  <c r="AQ35" i="37" s="1"/>
  <c r="AR35" i="37" s="1"/>
  <c r="AM22" i="37"/>
  <c r="AN22" i="37" s="1"/>
  <c r="AO22" i="37" s="1"/>
  <c r="AP22" i="37" s="1"/>
  <c r="AQ22" i="37" s="1"/>
  <c r="AR22" i="37" s="1"/>
  <c r="AM27" i="37"/>
  <c r="AN27" i="37" s="1"/>
  <c r="AO27" i="37" s="1"/>
  <c r="AP27" i="37" s="1"/>
  <c r="AQ27" i="37" s="1"/>
  <c r="AR27" i="37" s="1"/>
  <c r="AM26" i="37"/>
  <c r="AN26" i="37" s="1"/>
  <c r="AO26" i="37" s="1"/>
  <c r="AP26" i="37" s="1"/>
  <c r="AQ26" i="37" s="1"/>
  <c r="AR26" i="37" s="1"/>
  <c r="AL42" i="37" l="1"/>
  <c r="AM9" i="37"/>
  <c r="AN9" i="37" l="1"/>
  <c r="AM42" i="37"/>
  <c r="AO9" i="37" l="1"/>
  <c r="AP9" i="37" s="1"/>
  <c r="AN42" i="37"/>
  <c r="AP42" i="37" l="1"/>
  <c r="AQ9" i="37"/>
  <c r="AS38" i="37" l="1"/>
  <c r="AT38" i="37" s="1"/>
  <c r="AU38" i="37" s="1"/>
  <c r="AV38" i="37" s="1"/>
  <c r="AW38" i="37" s="1"/>
  <c r="AX38" i="37" s="1"/>
  <c r="AS39" i="37"/>
  <c r="AT39" i="37" s="1"/>
  <c r="AU39" i="37" s="1"/>
  <c r="AV39" i="37" s="1"/>
  <c r="AW39" i="37" s="1"/>
  <c r="AX39" i="37" s="1"/>
  <c r="AS37" i="37"/>
  <c r="AT37" i="37" s="1"/>
  <c r="AU37" i="37" s="1"/>
  <c r="AV37" i="37" s="1"/>
  <c r="AW37" i="37" s="1"/>
  <c r="AX37" i="37" s="1"/>
  <c r="AS19" i="37"/>
  <c r="AT19" i="37" s="1"/>
  <c r="AU19" i="37" s="1"/>
  <c r="AV19" i="37" s="1"/>
  <c r="AW19" i="37" s="1"/>
  <c r="AX19" i="37" s="1"/>
  <c r="AS25" i="37"/>
  <c r="AT25" i="37" s="1"/>
  <c r="AU25" i="37" s="1"/>
  <c r="AV25" i="37" s="1"/>
  <c r="AW25" i="37" s="1"/>
  <c r="AX25" i="37" s="1"/>
  <c r="AQ42" i="37"/>
  <c r="AR9" i="37"/>
  <c r="AS35" i="37"/>
  <c r="AT35" i="37" s="1"/>
  <c r="AU35" i="37" s="1"/>
  <c r="AV35" i="37" s="1"/>
  <c r="AW35" i="37" s="1"/>
  <c r="AX35" i="37" s="1"/>
  <c r="AS34" i="37"/>
  <c r="AT34" i="37" s="1"/>
  <c r="AU34" i="37" s="1"/>
  <c r="AV34" i="37" s="1"/>
  <c r="AW34" i="37" s="1"/>
  <c r="AX34" i="37" s="1"/>
  <c r="AS15" i="37"/>
  <c r="AT15" i="37" s="1"/>
  <c r="AU15" i="37" s="1"/>
  <c r="AV15" i="37" s="1"/>
  <c r="AW15" i="37" s="1"/>
  <c r="AX15" i="37" s="1"/>
  <c r="AS26" i="37"/>
  <c r="AT26" i="37" s="1"/>
  <c r="AU26" i="37" s="1"/>
  <c r="AV26" i="37" s="1"/>
  <c r="AW26" i="37" s="1"/>
  <c r="AX26" i="37" s="1"/>
  <c r="AS13" i="37"/>
  <c r="AT13" i="37" s="1"/>
  <c r="AU13" i="37" s="1"/>
  <c r="AV13" i="37" s="1"/>
  <c r="AW13" i="37" s="1"/>
  <c r="AX13" i="37" s="1"/>
  <c r="AS31" i="37"/>
  <c r="AT31" i="37" s="1"/>
  <c r="AU31" i="37" s="1"/>
  <c r="AV31" i="37" s="1"/>
  <c r="AW31" i="37" s="1"/>
  <c r="AX31" i="37" s="1"/>
  <c r="AS23" i="37"/>
  <c r="AT23" i="37" s="1"/>
  <c r="AU23" i="37" s="1"/>
  <c r="AV23" i="37" s="1"/>
  <c r="AW23" i="37" s="1"/>
  <c r="AX23" i="37" s="1"/>
  <c r="AS36" i="37"/>
  <c r="AT36" i="37" s="1"/>
  <c r="AU36" i="37" s="1"/>
  <c r="AV36" i="37" s="1"/>
  <c r="AW36" i="37" s="1"/>
  <c r="AX36" i="37" s="1"/>
  <c r="AS33" i="37"/>
  <c r="AT33" i="37" s="1"/>
  <c r="AU33" i="37" s="1"/>
  <c r="AV33" i="37" s="1"/>
  <c r="AW33" i="37" s="1"/>
  <c r="AX33" i="37" s="1"/>
  <c r="AS16" i="37"/>
  <c r="AT16" i="37" s="1"/>
  <c r="AU16" i="37" s="1"/>
  <c r="AV16" i="37" s="1"/>
  <c r="AW16" i="37" s="1"/>
  <c r="AX16" i="37" s="1"/>
  <c r="AS28" i="37"/>
  <c r="AT28" i="37" s="1"/>
  <c r="AU28" i="37" s="1"/>
  <c r="AV28" i="37" s="1"/>
  <c r="AW28" i="37" s="1"/>
  <c r="AX28" i="37" s="1"/>
  <c r="AS20" i="37"/>
  <c r="AT20" i="37" s="1"/>
  <c r="AU20" i="37" s="1"/>
  <c r="AV20" i="37" s="1"/>
  <c r="AW20" i="37" s="1"/>
  <c r="AX20" i="37" s="1"/>
  <c r="AS27" i="37"/>
  <c r="AT27" i="37" s="1"/>
  <c r="AU27" i="37" s="1"/>
  <c r="AV27" i="37" s="1"/>
  <c r="AW27" i="37" s="1"/>
  <c r="AX27" i="37" s="1"/>
  <c r="AS30" i="37"/>
  <c r="AT30" i="37" s="1"/>
  <c r="AU30" i="37" s="1"/>
  <c r="AV30" i="37" s="1"/>
  <c r="AW30" i="37" s="1"/>
  <c r="AX30" i="37" s="1"/>
  <c r="AS11" i="37"/>
  <c r="AT11" i="37" s="1"/>
  <c r="AU11" i="37" s="1"/>
  <c r="AV11" i="37" s="1"/>
  <c r="AW11" i="37" s="1"/>
  <c r="AX11" i="37" s="1"/>
  <c r="AS18" i="37"/>
  <c r="AT18" i="37" s="1"/>
  <c r="AU18" i="37" s="1"/>
  <c r="AV18" i="37" s="1"/>
  <c r="AW18" i="37" s="1"/>
  <c r="AX18" i="37" s="1"/>
  <c r="AS12" i="37"/>
  <c r="AT12" i="37" s="1"/>
  <c r="AU12" i="37" s="1"/>
  <c r="AV12" i="37" s="1"/>
  <c r="AW12" i="37" s="1"/>
  <c r="AX12" i="37" s="1"/>
  <c r="AS24" i="37"/>
  <c r="AT24" i="37" s="1"/>
  <c r="AU24" i="37" s="1"/>
  <c r="AV24" i="37" s="1"/>
  <c r="AW24" i="37" s="1"/>
  <c r="AX24" i="37" s="1"/>
  <c r="AS10" i="37"/>
  <c r="AT10" i="37" s="1"/>
  <c r="AU10" i="37" s="1"/>
  <c r="AV10" i="37" s="1"/>
  <c r="AW10" i="37" s="1"/>
  <c r="AX10" i="37" s="1"/>
  <c r="AS32" i="37"/>
  <c r="AT32" i="37" s="1"/>
  <c r="AU32" i="37" s="1"/>
  <c r="AV32" i="37" s="1"/>
  <c r="AW32" i="37" s="1"/>
  <c r="AX32" i="37" s="1"/>
  <c r="AS17" i="37"/>
  <c r="AT17" i="37" s="1"/>
  <c r="AU17" i="37" s="1"/>
  <c r="AV17" i="37" s="1"/>
  <c r="AW17" i="37" s="1"/>
  <c r="AX17" i="37" s="1"/>
  <c r="AS29" i="37"/>
  <c r="AT29" i="37" s="1"/>
  <c r="AU29" i="37" s="1"/>
  <c r="AV29" i="37" s="1"/>
  <c r="AW29" i="37" s="1"/>
  <c r="AX29" i="37" s="1"/>
  <c r="AS14" i="37"/>
  <c r="AT14" i="37" s="1"/>
  <c r="AU14" i="37" s="1"/>
  <c r="AV14" i="37" s="1"/>
  <c r="AW14" i="37" s="1"/>
  <c r="AX14" i="37" s="1"/>
  <c r="AS22" i="37"/>
  <c r="AT22" i="37" s="1"/>
  <c r="AU22" i="37" s="1"/>
  <c r="AV22" i="37" s="1"/>
  <c r="AW22" i="37" s="1"/>
  <c r="AX22" i="37" s="1"/>
  <c r="AS21" i="37"/>
  <c r="AT21" i="37" s="1"/>
  <c r="AU21" i="37" s="1"/>
  <c r="AV21" i="37" s="1"/>
  <c r="AW21" i="37" s="1"/>
  <c r="AX21" i="37" s="1"/>
  <c r="AS9" i="37" l="1"/>
  <c r="AR42" i="37"/>
  <c r="AT9" i="37" l="1"/>
  <c r="AS42" i="37"/>
  <c r="AT42" i="37" l="1"/>
  <c r="AU9" i="37"/>
  <c r="AV9" i="37" s="1"/>
  <c r="AW9" i="37" l="1"/>
  <c r="AV42" i="37"/>
  <c r="AY37" i="37" l="1"/>
  <c r="AZ37" i="37" s="1"/>
  <c r="BA37" i="37" s="1"/>
  <c r="BB37" i="37" s="1"/>
  <c r="BC37" i="37" s="1"/>
  <c r="BD37" i="37" s="1"/>
  <c r="AY39" i="37"/>
  <c r="AZ39" i="37" s="1"/>
  <c r="BA39" i="37" s="1"/>
  <c r="BB39" i="37" s="1"/>
  <c r="BC39" i="37" s="1"/>
  <c r="BD39" i="37" s="1"/>
  <c r="AY38" i="37"/>
  <c r="AZ38" i="37" s="1"/>
  <c r="BA38" i="37" s="1"/>
  <c r="BB38" i="37" s="1"/>
  <c r="BC38" i="37" s="1"/>
  <c r="BD38" i="37" s="1"/>
  <c r="AY25" i="37"/>
  <c r="AZ25" i="37" s="1"/>
  <c r="BA25" i="37" s="1"/>
  <c r="BB25" i="37" s="1"/>
  <c r="BC25" i="37" s="1"/>
  <c r="BD25" i="37" s="1"/>
  <c r="AY19" i="37"/>
  <c r="AZ19" i="37" s="1"/>
  <c r="BA19" i="37" s="1"/>
  <c r="BB19" i="37" s="1"/>
  <c r="BC19" i="37" s="1"/>
  <c r="BD19" i="37" s="1"/>
  <c r="AY29" i="37"/>
  <c r="AZ29" i="37" s="1"/>
  <c r="BA29" i="37" s="1"/>
  <c r="BB29" i="37" s="1"/>
  <c r="BC29" i="37" s="1"/>
  <c r="BD29" i="37" s="1"/>
  <c r="AY31" i="37"/>
  <c r="AZ31" i="37" s="1"/>
  <c r="BA31" i="37" s="1"/>
  <c r="BB31" i="37" s="1"/>
  <c r="BC31" i="37" s="1"/>
  <c r="BD31" i="37" s="1"/>
  <c r="AY27" i="37"/>
  <c r="AZ27" i="37" s="1"/>
  <c r="BA27" i="37" s="1"/>
  <c r="BB27" i="37" s="1"/>
  <c r="BC27" i="37" s="1"/>
  <c r="BD27" i="37" s="1"/>
  <c r="AY22" i="37"/>
  <c r="AZ22" i="37" s="1"/>
  <c r="BA22" i="37" s="1"/>
  <c r="BB22" i="37" s="1"/>
  <c r="BC22" i="37" s="1"/>
  <c r="BD22" i="37" s="1"/>
  <c r="AY36" i="37"/>
  <c r="AZ36" i="37" s="1"/>
  <c r="BA36" i="37" s="1"/>
  <c r="BB36" i="37" s="1"/>
  <c r="BC36" i="37" s="1"/>
  <c r="BD36" i="37" s="1"/>
  <c r="AY21" i="37"/>
  <c r="AZ21" i="37" s="1"/>
  <c r="BA21" i="37" s="1"/>
  <c r="BB21" i="37" s="1"/>
  <c r="BC21" i="37" s="1"/>
  <c r="BD21" i="37" s="1"/>
  <c r="AY28" i="37"/>
  <c r="AZ28" i="37" s="1"/>
  <c r="BA28" i="37" s="1"/>
  <c r="BB28" i="37" s="1"/>
  <c r="BC28" i="37" s="1"/>
  <c r="BD28" i="37" s="1"/>
  <c r="AY23" i="37"/>
  <c r="AZ23" i="37" s="1"/>
  <c r="BA23" i="37" s="1"/>
  <c r="BB23" i="37" s="1"/>
  <c r="BC23" i="37" s="1"/>
  <c r="BD23" i="37" s="1"/>
  <c r="AY10" i="37"/>
  <c r="AZ10" i="37" s="1"/>
  <c r="BA10" i="37" s="1"/>
  <c r="BB10" i="37" s="1"/>
  <c r="BC10" i="37" s="1"/>
  <c r="BD10" i="37" s="1"/>
  <c r="AY11" i="37"/>
  <c r="AZ11" i="37" s="1"/>
  <c r="BA11" i="37" s="1"/>
  <c r="BB11" i="37" s="1"/>
  <c r="BC11" i="37" s="1"/>
  <c r="BD11" i="37" s="1"/>
  <c r="AY24" i="37"/>
  <c r="AZ24" i="37" s="1"/>
  <c r="BA24" i="37" s="1"/>
  <c r="BB24" i="37" s="1"/>
  <c r="BC24" i="37" s="1"/>
  <c r="BD24" i="37" s="1"/>
  <c r="AY34" i="37"/>
  <c r="AZ34" i="37" s="1"/>
  <c r="BA34" i="37" s="1"/>
  <c r="BB34" i="37" s="1"/>
  <c r="BC34" i="37" s="1"/>
  <c r="BD34" i="37" s="1"/>
  <c r="AY33" i="37"/>
  <c r="AZ33" i="37" s="1"/>
  <c r="BA33" i="37" s="1"/>
  <c r="BB33" i="37" s="1"/>
  <c r="BC33" i="37" s="1"/>
  <c r="BD33" i="37" s="1"/>
  <c r="AY32" i="37"/>
  <c r="AZ32" i="37" s="1"/>
  <c r="BA32" i="37" s="1"/>
  <c r="BB32" i="37" s="1"/>
  <c r="BC32" i="37" s="1"/>
  <c r="BD32" i="37" s="1"/>
  <c r="AY26" i="37"/>
  <c r="AZ26" i="37" s="1"/>
  <c r="BA26" i="37" s="1"/>
  <c r="BB26" i="37" s="1"/>
  <c r="BC26" i="37" s="1"/>
  <c r="BD26" i="37" s="1"/>
  <c r="AY14" i="37"/>
  <c r="AZ14" i="37" s="1"/>
  <c r="BA14" i="37" s="1"/>
  <c r="BB14" i="37" s="1"/>
  <c r="BC14" i="37" s="1"/>
  <c r="BD14" i="37" s="1"/>
  <c r="AY15" i="37"/>
  <c r="AZ15" i="37" s="1"/>
  <c r="BA15" i="37" s="1"/>
  <c r="BB15" i="37" s="1"/>
  <c r="BC15" i="37" s="1"/>
  <c r="BD15" i="37" s="1"/>
  <c r="AY30" i="37"/>
  <c r="AZ30" i="37" s="1"/>
  <c r="BA30" i="37" s="1"/>
  <c r="BB30" i="37" s="1"/>
  <c r="BC30" i="37" s="1"/>
  <c r="BD30" i="37" s="1"/>
  <c r="AY17" i="37"/>
  <c r="AZ17" i="37" s="1"/>
  <c r="BA17" i="37" s="1"/>
  <c r="BB17" i="37" s="1"/>
  <c r="BC17" i="37" s="1"/>
  <c r="BD17" i="37" s="1"/>
  <c r="AY13" i="37"/>
  <c r="AZ13" i="37" s="1"/>
  <c r="BA13" i="37" s="1"/>
  <c r="BB13" i="37" s="1"/>
  <c r="BC13" i="37" s="1"/>
  <c r="BD13" i="37" s="1"/>
  <c r="AY18" i="37"/>
  <c r="AZ18" i="37" s="1"/>
  <c r="BA18" i="37" s="1"/>
  <c r="BB18" i="37" s="1"/>
  <c r="BC18" i="37" s="1"/>
  <c r="BD18" i="37" s="1"/>
  <c r="AY16" i="37"/>
  <c r="AZ16" i="37" s="1"/>
  <c r="BA16" i="37" s="1"/>
  <c r="BB16" i="37" s="1"/>
  <c r="BC16" i="37" s="1"/>
  <c r="BD16" i="37" s="1"/>
  <c r="AY12" i="37"/>
  <c r="AZ12" i="37" s="1"/>
  <c r="BA12" i="37" s="1"/>
  <c r="BB12" i="37" s="1"/>
  <c r="BC12" i="37" s="1"/>
  <c r="BD12" i="37" s="1"/>
  <c r="AY35" i="37"/>
  <c r="AZ35" i="37" s="1"/>
  <c r="BA35" i="37" s="1"/>
  <c r="BB35" i="37" s="1"/>
  <c r="BC35" i="37" s="1"/>
  <c r="BD35" i="37" s="1"/>
  <c r="AY20" i="37"/>
  <c r="AZ20" i="37" s="1"/>
  <c r="BA20" i="37" s="1"/>
  <c r="BB20" i="37" s="1"/>
  <c r="BC20" i="37" s="1"/>
  <c r="BD20" i="37" s="1"/>
  <c r="AX9" i="37"/>
  <c r="AW42" i="37"/>
  <c r="AX42" i="37" l="1"/>
  <c r="AY9" i="37"/>
  <c r="AZ9" i="37" l="1"/>
  <c r="AY42" i="37"/>
  <c r="BA9" i="37" l="1"/>
  <c r="BB9" i="37" s="1"/>
  <c r="AZ42" i="37"/>
  <c r="BC9" i="37" l="1"/>
  <c r="BB42" i="37"/>
  <c r="BE38" i="37" l="1"/>
  <c r="BF38" i="37" s="1"/>
  <c r="BG38" i="37" s="1"/>
  <c r="BH38" i="37" s="1"/>
  <c r="BI38" i="37" s="1"/>
  <c r="BJ38" i="37" s="1"/>
  <c r="BE39" i="37"/>
  <c r="BF39" i="37" s="1"/>
  <c r="BG39" i="37" s="1"/>
  <c r="BH39" i="37" s="1"/>
  <c r="BI39" i="37" s="1"/>
  <c r="BJ39" i="37" s="1"/>
  <c r="BE37" i="37"/>
  <c r="BF37" i="37" s="1"/>
  <c r="BG37" i="37" s="1"/>
  <c r="BH37" i="37" s="1"/>
  <c r="BI37" i="37" s="1"/>
  <c r="BJ37" i="37" s="1"/>
  <c r="BE19" i="37"/>
  <c r="BF19" i="37" s="1"/>
  <c r="BG19" i="37" s="1"/>
  <c r="BH19" i="37" s="1"/>
  <c r="BI19" i="37" s="1"/>
  <c r="BJ19" i="37" s="1"/>
  <c r="BE25" i="37"/>
  <c r="BF25" i="37" s="1"/>
  <c r="BG25" i="37" s="1"/>
  <c r="BH25" i="37" s="1"/>
  <c r="BI25" i="37" s="1"/>
  <c r="BJ25" i="37" s="1"/>
  <c r="BE20" i="37"/>
  <c r="BF20" i="37" s="1"/>
  <c r="BG20" i="37" s="1"/>
  <c r="BH20" i="37" s="1"/>
  <c r="BI20" i="37" s="1"/>
  <c r="BJ20" i="37" s="1"/>
  <c r="BE34" i="37"/>
  <c r="BF34" i="37" s="1"/>
  <c r="BG34" i="37" s="1"/>
  <c r="BH34" i="37" s="1"/>
  <c r="BI34" i="37" s="1"/>
  <c r="BJ34" i="37" s="1"/>
  <c r="BE17" i="37"/>
  <c r="BF17" i="37" s="1"/>
  <c r="BG17" i="37" s="1"/>
  <c r="BH17" i="37" s="1"/>
  <c r="BI17" i="37" s="1"/>
  <c r="BJ17" i="37" s="1"/>
  <c r="BE27" i="37"/>
  <c r="BF27" i="37" s="1"/>
  <c r="BG27" i="37" s="1"/>
  <c r="BH27" i="37" s="1"/>
  <c r="BI27" i="37" s="1"/>
  <c r="BJ27" i="37" s="1"/>
  <c r="BE30" i="37"/>
  <c r="BF30" i="37" s="1"/>
  <c r="BG30" i="37" s="1"/>
  <c r="BH30" i="37" s="1"/>
  <c r="BI30" i="37" s="1"/>
  <c r="BJ30" i="37" s="1"/>
  <c r="BE31" i="37"/>
  <c r="BF31" i="37" s="1"/>
  <c r="BG31" i="37" s="1"/>
  <c r="BH31" i="37" s="1"/>
  <c r="BI31" i="37" s="1"/>
  <c r="BJ31" i="37" s="1"/>
  <c r="BE10" i="37"/>
  <c r="BF10" i="37" s="1"/>
  <c r="BG10" i="37" s="1"/>
  <c r="BH10" i="37" s="1"/>
  <c r="BI10" i="37" s="1"/>
  <c r="BJ10" i="37" s="1"/>
  <c r="BE32" i="37"/>
  <c r="BF32" i="37" s="1"/>
  <c r="BG32" i="37" s="1"/>
  <c r="BH32" i="37" s="1"/>
  <c r="BI32" i="37" s="1"/>
  <c r="BJ32" i="37" s="1"/>
  <c r="BE18" i="37"/>
  <c r="BF18" i="37" s="1"/>
  <c r="BG18" i="37" s="1"/>
  <c r="BH18" i="37" s="1"/>
  <c r="BI18" i="37" s="1"/>
  <c r="BJ18" i="37" s="1"/>
  <c r="BE36" i="37"/>
  <c r="BF36" i="37" s="1"/>
  <c r="BG36" i="37" s="1"/>
  <c r="BH36" i="37" s="1"/>
  <c r="BI36" i="37" s="1"/>
  <c r="BJ36" i="37" s="1"/>
  <c r="BE15" i="37"/>
  <c r="BF15" i="37" s="1"/>
  <c r="BG15" i="37" s="1"/>
  <c r="BH15" i="37" s="1"/>
  <c r="BI15" i="37" s="1"/>
  <c r="BJ15" i="37" s="1"/>
  <c r="BE35" i="37"/>
  <c r="BF35" i="37" s="1"/>
  <c r="BG35" i="37" s="1"/>
  <c r="BH35" i="37" s="1"/>
  <c r="BI35" i="37" s="1"/>
  <c r="BJ35" i="37" s="1"/>
  <c r="BE23" i="37"/>
  <c r="BF23" i="37" s="1"/>
  <c r="BG23" i="37" s="1"/>
  <c r="BH23" i="37" s="1"/>
  <c r="BI23" i="37" s="1"/>
  <c r="BJ23" i="37" s="1"/>
  <c r="BE26" i="37"/>
  <c r="BF26" i="37" s="1"/>
  <c r="BG26" i="37" s="1"/>
  <c r="BH26" i="37" s="1"/>
  <c r="BI26" i="37" s="1"/>
  <c r="BJ26" i="37" s="1"/>
  <c r="BE11" i="37"/>
  <c r="BF11" i="37" s="1"/>
  <c r="BG11" i="37" s="1"/>
  <c r="BH11" i="37" s="1"/>
  <c r="BI11" i="37" s="1"/>
  <c r="BJ11" i="37" s="1"/>
  <c r="BE13" i="37"/>
  <c r="BF13" i="37" s="1"/>
  <c r="BG13" i="37" s="1"/>
  <c r="BH13" i="37" s="1"/>
  <c r="BI13" i="37" s="1"/>
  <c r="BJ13" i="37" s="1"/>
  <c r="BE22" i="37"/>
  <c r="BF22" i="37" s="1"/>
  <c r="BG22" i="37" s="1"/>
  <c r="BH22" i="37" s="1"/>
  <c r="BI22" i="37" s="1"/>
  <c r="BJ22" i="37" s="1"/>
  <c r="BE24" i="37"/>
  <c r="BF24" i="37" s="1"/>
  <c r="BG24" i="37" s="1"/>
  <c r="BH24" i="37" s="1"/>
  <c r="BI24" i="37" s="1"/>
  <c r="BJ24" i="37" s="1"/>
  <c r="BE14" i="37"/>
  <c r="BF14" i="37" s="1"/>
  <c r="BG14" i="37" s="1"/>
  <c r="BH14" i="37" s="1"/>
  <c r="BI14" i="37" s="1"/>
  <c r="BJ14" i="37" s="1"/>
  <c r="BE12" i="37"/>
  <c r="BF12" i="37" s="1"/>
  <c r="BG12" i="37" s="1"/>
  <c r="BH12" i="37" s="1"/>
  <c r="BI12" i="37" s="1"/>
  <c r="BJ12" i="37" s="1"/>
  <c r="BE28" i="37"/>
  <c r="BF28" i="37" s="1"/>
  <c r="BG28" i="37" s="1"/>
  <c r="BH28" i="37" s="1"/>
  <c r="BI28" i="37" s="1"/>
  <c r="BJ28" i="37" s="1"/>
  <c r="BE16" i="37"/>
  <c r="BF16" i="37" s="1"/>
  <c r="BG16" i="37" s="1"/>
  <c r="BH16" i="37" s="1"/>
  <c r="BI16" i="37" s="1"/>
  <c r="BJ16" i="37" s="1"/>
  <c r="BE21" i="37"/>
  <c r="BF21" i="37" s="1"/>
  <c r="BG21" i="37" s="1"/>
  <c r="BH21" i="37" s="1"/>
  <c r="BI21" i="37" s="1"/>
  <c r="BJ21" i="37" s="1"/>
  <c r="BE33" i="37"/>
  <c r="BF33" i="37" s="1"/>
  <c r="BG33" i="37" s="1"/>
  <c r="BH33" i="37" s="1"/>
  <c r="BI33" i="37" s="1"/>
  <c r="BJ33" i="37" s="1"/>
  <c r="BE29" i="37"/>
  <c r="BF29" i="37" s="1"/>
  <c r="BG29" i="37" s="1"/>
  <c r="BH29" i="37" s="1"/>
  <c r="BI29" i="37" s="1"/>
  <c r="BJ29" i="37" s="1"/>
  <c r="BC42" i="37"/>
  <c r="BD9" i="37"/>
  <c r="BD42" i="37" l="1"/>
  <c r="BE9" i="37"/>
  <c r="BF9" i="37" l="1"/>
  <c r="BE42" i="37"/>
  <c r="BF42" i="37" l="1"/>
  <c r="BG9" i="37"/>
  <c r="BH9" i="37" s="1"/>
  <c r="BI9" i="37" l="1"/>
  <c r="BH42" i="37"/>
  <c r="BK39" i="37" l="1"/>
  <c r="BL39" i="37" s="1"/>
  <c r="BM39" i="37" s="1"/>
  <c r="BN39" i="37" s="1"/>
  <c r="BO39" i="37" s="1"/>
  <c r="BP39" i="37" s="1"/>
  <c r="BK37" i="37"/>
  <c r="BL37" i="37" s="1"/>
  <c r="BM37" i="37" s="1"/>
  <c r="BN37" i="37" s="1"/>
  <c r="BO37" i="37" s="1"/>
  <c r="BP37" i="37" s="1"/>
  <c r="BK38" i="37"/>
  <c r="BL38" i="37" s="1"/>
  <c r="BM38" i="37" s="1"/>
  <c r="BN38" i="37" s="1"/>
  <c r="BO38" i="37" s="1"/>
  <c r="BP38" i="37" s="1"/>
  <c r="BK25" i="37"/>
  <c r="BL25" i="37" s="1"/>
  <c r="BM25" i="37" s="1"/>
  <c r="BN25" i="37" s="1"/>
  <c r="BO25" i="37" s="1"/>
  <c r="BP25" i="37" s="1"/>
  <c r="BK19" i="37"/>
  <c r="BL19" i="37" s="1"/>
  <c r="BM19" i="37" s="1"/>
  <c r="BN19" i="37" s="1"/>
  <c r="BO19" i="37" s="1"/>
  <c r="BP19" i="37" s="1"/>
  <c r="BK33" i="37"/>
  <c r="BL33" i="37" s="1"/>
  <c r="BM33" i="37" s="1"/>
  <c r="BN33" i="37" s="1"/>
  <c r="BO33" i="37" s="1"/>
  <c r="BP33" i="37" s="1"/>
  <c r="BK32" i="37"/>
  <c r="BL32" i="37" s="1"/>
  <c r="BM32" i="37" s="1"/>
  <c r="BN32" i="37" s="1"/>
  <c r="BO32" i="37" s="1"/>
  <c r="BP32" i="37" s="1"/>
  <c r="BK15" i="37"/>
  <c r="BL15" i="37" s="1"/>
  <c r="BM15" i="37" s="1"/>
  <c r="BN15" i="37" s="1"/>
  <c r="BO15" i="37" s="1"/>
  <c r="BP15" i="37" s="1"/>
  <c r="BK24" i="37"/>
  <c r="BL24" i="37" s="1"/>
  <c r="BM24" i="37" s="1"/>
  <c r="BN24" i="37" s="1"/>
  <c r="BO24" i="37" s="1"/>
  <c r="BP24" i="37" s="1"/>
  <c r="BK34" i="37"/>
  <c r="BL34" i="37" s="1"/>
  <c r="BM34" i="37" s="1"/>
  <c r="BN34" i="37" s="1"/>
  <c r="BO34" i="37" s="1"/>
  <c r="BP34" i="37" s="1"/>
  <c r="BK18" i="37"/>
  <c r="BL18" i="37" s="1"/>
  <c r="BM18" i="37" s="1"/>
  <c r="BN18" i="37" s="1"/>
  <c r="BO18" i="37" s="1"/>
  <c r="BP18" i="37" s="1"/>
  <c r="BK12" i="37"/>
  <c r="BL12" i="37" s="1"/>
  <c r="BM12" i="37" s="1"/>
  <c r="BN12" i="37" s="1"/>
  <c r="BO12" i="37" s="1"/>
  <c r="BP12" i="37" s="1"/>
  <c r="BK27" i="37"/>
  <c r="BL27" i="37" s="1"/>
  <c r="BM27" i="37" s="1"/>
  <c r="BN27" i="37" s="1"/>
  <c r="BO27" i="37" s="1"/>
  <c r="BP27" i="37" s="1"/>
  <c r="BK21" i="37"/>
  <c r="BL21" i="37" s="1"/>
  <c r="BM21" i="37" s="1"/>
  <c r="BN21" i="37" s="1"/>
  <c r="BO21" i="37" s="1"/>
  <c r="BP21" i="37" s="1"/>
  <c r="BK10" i="37"/>
  <c r="BL10" i="37" s="1"/>
  <c r="BM10" i="37" s="1"/>
  <c r="BN10" i="37" s="1"/>
  <c r="BO10" i="37" s="1"/>
  <c r="BP10" i="37" s="1"/>
  <c r="BK26" i="37"/>
  <c r="BL26" i="37" s="1"/>
  <c r="BM26" i="37" s="1"/>
  <c r="BN26" i="37" s="1"/>
  <c r="BO26" i="37" s="1"/>
  <c r="BP26" i="37" s="1"/>
  <c r="BK28" i="37"/>
  <c r="BL28" i="37" s="1"/>
  <c r="BM28" i="37" s="1"/>
  <c r="BN28" i="37" s="1"/>
  <c r="BO28" i="37" s="1"/>
  <c r="BP28" i="37" s="1"/>
  <c r="BK30" i="37"/>
  <c r="BL30" i="37" s="1"/>
  <c r="BM30" i="37" s="1"/>
  <c r="BN30" i="37" s="1"/>
  <c r="BO30" i="37" s="1"/>
  <c r="BP30" i="37" s="1"/>
  <c r="BK20" i="37"/>
  <c r="BL20" i="37" s="1"/>
  <c r="BM20" i="37" s="1"/>
  <c r="BN20" i="37" s="1"/>
  <c r="BO20" i="37" s="1"/>
  <c r="BP20" i="37" s="1"/>
  <c r="BK23" i="37"/>
  <c r="BL23" i="37" s="1"/>
  <c r="BM23" i="37" s="1"/>
  <c r="BN23" i="37" s="1"/>
  <c r="BO23" i="37" s="1"/>
  <c r="BP23" i="37" s="1"/>
  <c r="BK13" i="37"/>
  <c r="BL13" i="37" s="1"/>
  <c r="BM13" i="37" s="1"/>
  <c r="BN13" i="37" s="1"/>
  <c r="BO13" i="37" s="1"/>
  <c r="BP13" i="37" s="1"/>
  <c r="BK29" i="37"/>
  <c r="BL29" i="37" s="1"/>
  <c r="BM29" i="37" s="1"/>
  <c r="BN29" i="37" s="1"/>
  <c r="BO29" i="37" s="1"/>
  <c r="BP29" i="37" s="1"/>
  <c r="BK14" i="37"/>
  <c r="BL14" i="37" s="1"/>
  <c r="BM14" i="37" s="1"/>
  <c r="BN14" i="37" s="1"/>
  <c r="BO14" i="37" s="1"/>
  <c r="BP14" i="37" s="1"/>
  <c r="BK17" i="37"/>
  <c r="BL17" i="37" s="1"/>
  <c r="BM17" i="37" s="1"/>
  <c r="BN17" i="37" s="1"/>
  <c r="BO17" i="37" s="1"/>
  <c r="BP17" i="37" s="1"/>
  <c r="BK36" i="37"/>
  <c r="BL36" i="37" s="1"/>
  <c r="BM36" i="37" s="1"/>
  <c r="BN36" i="37" s="1"/>
  <c r="BO36" i="37" s="1"/>
  <c r="BP36" i="37" s="1"/>
  <c r="BK22" i="37"/>
  <c r="BL22" i="37" s="1"/>
  <c r="BM22" i="37" s="1"/>
  <c r="BN22" i="37" s="1"/>
  <c r="BO22" i="37" s="1"/>
  <c r="BP22" i="37" s="1"/>
  <c r="BK16" i="37"/>
  <c r="BL16" i="37" s="1"/>
  <c r="BM16" i="37" s="1"/>
  <c r="BN16" i="37" s="1"/>
  <c r="BO16" i="37" s="1"/>
  <c r="BP16" i="37" s="1"/>
  <c r="BK35" i="37"/>
  <c r="BL35" i="37" s="1"/>
  <c r="BM35" i="37" s="1"/>
  <c r="BN35" i="37" s="1"/>
  <c r="BO35" i="37" s="1"/>
  <c r="BP35" i="37" s="1"/>
  <c r="BK11" i="37"/>
  <c r="BL11" i="37" s="1"/>
  <c r="BM11" i="37" s="1"/>
  <c r="BN11" i="37" s="1"/>
  <c r="BO11" i="37" s="1"/>
  <c r="BP11" i="37" s="1"/>
  <c r="BK31" i="37"/>
  <c r="BL31" i="37" s="1"/>
  <c r="BM31" i="37" s="1"/>
  <c r="BN31" i="37" s="1"/>
  <c r="BO31" i="37" s="1"/>
  <c r="BP31" i="37" s="1"/>
  <c r="BI42" i="37"/>
  <c r="BJ9" i="37"/>
  <c r="BK9" i="37" l="1"/>
  <c r="BJ42" i="37"/>
  <c r="BK42" i="37" l="1"/>
  <c r="BL9" i="37"/>
  <c r="BL42" i="37" l="1"/>
  <c r="BM9" i="37"/>
  <c r="BN9" i="37" s="1"/>
  <c r="BO9" i="37" l="1"/>
  <c r="BN42" i="37"/>
  <c r="BQ38" i="37" l="1"/>
  <c r="BR38" i="37" s="1"/>
  <c r="BS38" i="37" s="1"/>
  <c r="BT38" i="37" s="1"/>
  <c r="BU38" i="37" s="1"/>
  <c r="BV38" i="37" s="1"/>
  <c r="BQ37" i="37"/>
  <c r="BR37" i="37" s="1"/>
  <c r="BS37" i="37" s="1"/>
  <c r="BT37" i="37" s="1"/>
  <c r="BU37" i="37" s="1"/>
  <c r="BV37" i="37" s="1"/>
  <c r="BQ39" i="37"/>
  <c r="BR39" i="37" s="1"/>
  <c r="BS39" i="37" s="1"/>
  <c r="BT39" i="37" s="1"/>
  <c r="BU39" i="37" s="1"/>
  <c r="BV39" i="37" s="1"/>
  <c r="BQ19" i="37"/>
  <c r="BR19" i="37" s="1"/>
  <c r="BS19" i="37" s="1"/>
  <c r="BT19" i="37" s="1"/>
  <c r="BU19" i="37" s="1"/>
  <c r="BV19" i="37" s="1"/>
  <c r="BQ25" i="37"/>
  <c r="BR25" i="37" s="1"/>
  <c r="BS25" i="37" s="1"/>
  <c r="BT25" i="37" s="1"/>
  <c r="BU25" i="37" s="1"/>
  <c r="BV25" i="37" s="1"/>
  <c r="BQ11" i="37"/>
  <c r="BR11" i="37" s="1"/>
  <c r="BS11" i="37" s="1"/>
  <c r="BT11" i="37" s="1"/>
  <c r="BU11" i="37" s="1"/>
  <c r="BV11" i="37" s="1"/>
  <c r="BQ27" i="37"/>
  <c r="BR27" i="37" s="1"/>
  <c r="BS27" i="37" s="1"/>
  <c r="BT27" i="37" s="1"/>
  <c r="BU27" i="37" s="1"/>
  <c r="BV27" i="37" s="1"/>
  <c r="BQ23" i="37"/>
  <c r="BR23" i="37" s="1"/>
  <c r="BS23" i="37" s="1"/>
  <c r="BT23" i="37" s="1"/>
  <c r="BU23" i="37" s="1"/>
  <c r="BV23" i="37" s="1"/>
  <c r="BQ31" i="37"/>
  <c r="BR31" i="37" s="1"/>
  <c r="BS31" i="37" s="1"/>
  <c r="BT31" i="37" s="1"/>
  <c r="BU31" i="37" s="1"/>
  <c r="BV31" i="37" s="1"/>
  <c r="BQ14" i="37"/>
  <c r="BR14" i="37" s="1"/>
  <c r="BS14" i="37" s="1"/>
  <c r="BT14" i="37" s="1"/>
  <c r="BU14" i="37" s="1"/>
  <c r="BV14" i="37" s="1"/>
  <c r="BQ32" i="37"/>
  <c r="BR32" i="37" s="1"/>
  <c r="BS32" i="37" s="1"/>
  <c r="BT32" i="37" s="1"/>
  <c r="BU32" i="37" s="1"/>
  <c r="BV32" i="37" s="1"/>
  <c r="BQ21" i="37"/>
  <c r="BR21" i="37" s="1"/>
  <c r="BS21" i="37" s="1"/>
  <c r="BT21" i="37" s="1"/>
  <c r="BU21" i="37" s="1"/>
  <c r="BV21" i="37" s="1"/>
  <c r="BQ20" i="37"/>
  <c r="BR20" i="37" s="1"/>
  <c r="BS20" i="37" s="1"/>
  <c r="BT20" i="37" s="1"/>
  <c r="BU20" i="37" s="1"/>
  <c r="BV20" i="37" s="1"/>
  <c r="BQ22" i="37"/>
  <c r="BR22" i="37" s="1"/>
  <c r="BS22" i="37" s="1"/>
  <c r="BT22" i="37" s="1"/>
  <c r="BU22" i="37" s="1"/>
  <c r="BV22" i="37" s="1"/>
  <c r="BQ29" i="37"/>
  <c r="BR29" i="37" s="1"/>
  <c r="BS29" i="37" s="1"/>
  <c r="BT29" i="37" s="1"/>
  <c r="BU29" i="37" s="1"/>
  <c r="BV29" i="37" s="1"/>
  <c r="BQ36" i="37"/>
  <c r="BR36" i="37" s="1"/>
  <c r="BS36" i="37" s="1"/>
  <c r="BT36" i="37" s="1"/>
  <c r="BU36" i="37" s="1"/>
  <c r="BV36" i="37" s="1"/>
  <c r="BQ24" i="37"/>
  <c r="BR24" i="37" s="1"/>
  <c r="BS24" i="37" s="1"/>
  <c r="BT24" i="37" s="1"/>
  <c r="BU24" i="37" s="1"/>
  <c r="BV24" i="37" s="1"/>
  <c r="BQ26" i="37"/>
  <c r="BR26" i="37" s="1"/>
  <c r="BS26" i="37" s="1"/>
  <c r="BT26" i="37" s="1"/>
  <c r="BU26" i="37" s="1"/>
  <c r="BV26" i="37" s="1"/>
  <c r="BQ13" i="37"/>
  <c r="BR13" i="37" s="1"/>
  <c r="BS13" i="37" s="1"/>
  <c r="BT13" i="37" s="1"/>
  <c r="BU13" i="37" s="1"/>
  <c r="BV13" i="37" s="1"/>
  <c r="BQ35" i="37"/>
  <c r="BR35" i="37" s="1"/>
  <c r="BS35" i="37" s="1"/>
  <c r="BT35" i="37" s="1"/>
  <c r="BU35" i="37" s="1"/>
  <c r="BV35" i="37" s="1"/>
  <c r="BQ12" i="37"/>
  <c r="BR12" i="37" s="1"/>
  <c r="BS12" i="37" s="1"/>
  <c r="BT12" i="37" s="1"/>
  <c r="BU12" i="37" s="1"/>
  <c r="BV12" i="37" s="1"/>
  <c r="BQ28" i="37"/>
  <c r="BR28" i="37" s="1"/>
  <c r="BS28" i="37" s="1"/>
  <c r="BT28" i="37" s="1"/>
  <c r="BU28" i="37" s="1"/>
  <c r="BV28" i="37" s="1"/>
  <c r="BQ17" i="37"/>
  <c r="BR17" i="37" s="1"/>
  <c r="BS17" i="37" s="1"/>
  <c r="BT17" i="37" s="1"/>
  <c r="BU17" i="37" s="1"/>
  <c r="BV17" i="37" s="1"/>
  <c r="BQ15" i="37"/>
  <c r="BR15" i="37" s="1"/>
  <c r="BS15" i="37" s="1"/>
  <c r="BT15" i="37" s="1"/>
  <c r="BU15" i="37" s="1"/>
  <c r="BV15" i="37" s="1"/>
  <c r="BQ16" i="37"/>
  <c r="BR16" i="37" s="1"/>
  <c r="BS16" i="37" s="1"/>
  <c r="BT16" i="37" s="1"/>
  <c r="BU16" i="37" s="1"/>
  <c r="BV16" i="37" s="1"/>
  <c r="BQ18" i="37"/>
  <c r="BR18" i="37" s="1"/>
  <c r="BS18" i="37" s="1"/>
  <c r="BT18" i="37" s="1"/>
  <c r="BU18" i="37" s="1"/>
  <c r="BV18" i="37" s="1"/>
  <c r="BQ30" i="37"/>
  <c r="BR30" i="37" s="1"/>
  <c r="BS30" i="37" s="1"/>
  <c r="BT30" i="37" s="1"/>
  <c r="BU30" i="37" s="1"/>
  <c r="BV30" i="37" s="1"/>
  <c r="BQ34" i="37"/>
  <c r="BR34" i="37" s="1"/>
  <c r="BS34" i="37" s="1"/>
  <c r="BT34" i="37" s="1"/>
  <c r="BU34" i="37" s="1"/>
  <c r="BV34" i="37" s="1"/>
  <c r="BQ10" i="37"/>
  <c r="BR10" i="37" s="1"/>
  <c r="BS10" i="37" s="1"/>
  <c r="BT10" i="37" s="1"/>
  <c r="BU10" i="37" s="1"/>
  <c r="BV10" i="37" s="1"/>
  <c r="BQ33" i="37"/>
  <c r="BR33" i="37" s="1"/>
  <c r="BS33" i="37" s="1"/>
  <c r="BT33" i="37" s="1"/>
  <c r="BU33" i="37" s="1"/>
  <c r="BV33" i="37" s="1"/>
  <c r="BO42" i="37"/>
  <c r="BP9" i="37"/>
  <c r="BP42" i="37" l="1"/>
  <c r="BQ9" i="37"/>
  <c r="BQ42" i="37" l="1"/>
  <c r="BR9" i="37"/>
  <c r="BS9" i="37" l="1"/>
  <c r="BT9" i="37" s="1"/>
  <c r="BR42" i="37"/>
  <c r="BU9" i="37" l="1"/>
  <c r="BT42" i="37"/>
  <c r="BW39" i="37" l="1"/>
  <c r="BX39" i="37" s="1"/>
  <c r="BY39" i="37" s="1"/>
  <c r="BZ39" i="37" s="1"/>
  <c r="CA39" i="37" s="1"/>
  <c r="CB39" i="37" s="1"/>
  <c r="BW37" i="37"/>
  <c r="BX37" i="37" s="1"/>
  <c r="BY37" i="37" s="1"/>
  <c r="BZ37" i="37" s="1"/>
  <c r="CA37" i="37" s="1"/>
  <c r="CB37" i="37" s="1"/>
  <c r="BW38" i="37"/>
  <c r="BX38" i="37" s="1"/>
  <c r="BY38" i="37" s="1"/>
  <c r="BZ38" i="37" s="1"/>
  <c r="CA38" i="37" s="1"/>
  <c r="CB38" i="37" s="1"/>
  <c r="BW25" i="37"/>
  <c r="BX25" i="37" s="1"/>
  <c r="BY25" i="37" s="1"/>
  <c r="BZ25" i="37" s="1"/>
  <c r="CA25" i="37" s="1"/>
  <c r="CB25" i="37" s="1"/>
  <c r="BW19" i="37"/>
  <c r="BX19" i="37" s="1"/>
  <c r="BY19" i="37" s="1"/>
  <c r="BZ19" i="37" s="1"/>
  <c r="CA19" i="37" s="1"/>
  <c r="CB19" i="37" s="1"/>
  <c r="BW10" i="37"/>
  <c r="BX10" i="37" s="1"/>
  <c r="BY10" i="37" s="1"/>
  <c r="BZ10" i="37" s="1"/>
  <c r="CA10" i="37" s="1"/>
  <c r="CB10" i="37" s="1"/>
  <c r="BW20" i="37"/>
  <c r="BX20" i="37" s="1"/>
  <c r="BY20" i="37" s="1"/>
  <c r="BZ20" i="37" s="1"/>
  <c r="CA20" i="37" s="1"/>
  <c r="CB20" i="37" s="1"/>
  <c r="BW35" i="37"/>
  <c r="BX35" i="37" s="1"/>
  <c r="BY35" i="37" s="1"/>
  <c r="BZ35" i="37" s="1"/>
  <c r="CA35" i="37" s="1"/>
  <c r="CB35" i="37" s="1"/>
  <c r="BW13" i="37"/>
  <c r="BX13" i="37" s="1"/>
  <c r="BY13" i="37" s="1"/>
  <c r="BZ13" i="37" s="1"/>
  <c r="CA13" i="37" s="1"/>
  <c r="CB13" i="37" s="1"/>
  <c r="BW33" i="37"/>
  <c r="BX33" i="37" s="1"/>
  <c r="BY33" i="37" s="1"/>
  <c r="BZ33" i="37" s="1"/>
  <c r="CA33" i="37" s="1"/>
  <c r="CB33" i="37" s="1"/>
  <c r="BW22" i="37"/>
  <c r="BX22" i="37" s="1"/>
  <c r="BY22" i="37" s="1"/>
  <c r="BZ22" i="37" s="1"/>
  <c r="CA22" i="37" s="1"/>
  <c r="CB22" i="37" s="1"/>
  <c r="BW16" i="37"/>
  <c r="BX16" i="37" s="1"/>
  <c r="BY16" i="37" s="1"/>
  <c r="BZ16" i="37" s="1"/>
  <c r="CA16" i="37" s="1"/>
  <c r="CB16" i="37" s="1"/>
  <c r="BW31" i="37"/>
  <c r="BX31" i="37" s="1"/>
  <c r="BY31" i="37" s="1"/>
  <c r="BZ31" i="37" s="1"/>
  <c r="CA31" i="37" s="1"/>
  <c r="CB31" i="37" s="1"/>
  <c r="BW36" i="37"/>
  <c r="BX36" i="37" s="1"/>
  <c r="BY36" i="37" s="1"/>
  <c r="BZ36" i="37" s="1"/>
  <c r="CA36" i="37" s="1"/>
  <c r="CB36" i="37" s="1"/>
  <c r="BW18" i="37"/>
  <c r="BX18" i="37" s="1"/>
  <c r="BY18" i="37" s="1"/>
  <c r="BZ18" i="37" s="1"/>
  <c r="CA18" i="37" s="1"/>
  <c r="CB18" i="37" s="1"/>
  <c r="BW12" i="37"/>
  <c r="BX12" i="37" s="1"/>
  <c r="BY12" i="37" s="1"/>
  <c r="BZ12" i="37" s="1"/>
  <c r="CA12" i="37" s="1"/>
  <c r="CB12" i="37" s="1"/>
  <c r="BW34" i="37"/>
  <c r="BX34" i="37" s="1"/>
  <c r="BY34" i="37" s="1"/>
  <c r="BZ34" i="37" s="1"/>
  <c r="CA34" i="37" s="1"/>
  <c r="CB34" i="37" s="1"/>
  <c r="BW21" i="37"/>
  <c r="BX21" i="37" s="1"/>
  <c r="BY21" i="37" s="1"/>
  <c r="BZ21" i="37" s="1"/>
  <c r="CA21" i="37" s="1"/>
  <c r="CB21" i="37" s="1"/>
  <c r="BW30" i="37"/>
  <c r="BX30" i="37" s="1"/>
  <c r="BY30" i="37" s="1"/>
  <c r="BZ30" i="37" s="1"/>
  <c r="CA30" i="37" s="1"/>
  <c r="CB30" i="37" s="1"/>
  <c r="BW32" i="37"/>
  <c r="BX32" i="37" s="1"/>
  <c r="BY32" i="37" s="1"/>
  <c r="BZ32" i="37" s="1"/>
  <c r="CA32" i="37" s="1"/>
  <c r="CB32" i="37" s="1"/>
  <c r="BW28" i="37"/>
  <c r="BX28" i="37" s="1"/>
  <c r="BY28" i="37" s="1"/>
  <c r="BZ28" i="37" s="1"/>
  <c r="CA28" i="37" s="1"/>
  <c r="CB28" i="37" s="1"/>
  <c r="BW11" i="37"/>
  <c r="BX11" i="37" s="1"/>
  <c r="BY11" i="37" s="1"/>
  <c r="BZ11" i="37" s="1"/>
  <c r="CA11" i="37" s="1"/>
  <c r="CB11" i="37" s="1"/>
  <c r="BW24" i="37"/>
  <c r="BX24" i="37" s="1"/>
  <c r="BY24" i="37" s="1"/>
  <c r="BZ24" i="37" s="1"/>
  <c r="CA24" i="37" s="1"/>
  <c r="CB24" i="37" s="1"/>
  <c r="BW15" i="37"/>
  <c r="BX15" i="37" s="1"/>
  <c r="BY15" i="37" s="1"/>
  <c r="BZ15" i="37" s="1"/>
  <c r="CA15" i="37" s="1"/>
  <c r="CB15" i="37" s="1"/>
  <c r="BW23" i="37"/>
  <c r="BX23" i="37" s="1"/>
  <c r="BY23" i="37" s="1"/>
  <c r="BZ23" i="37" s="1"/>
  <c r="CA23" i="37" s="1"/>
  <c r="CB23" i="37" s="1"/>
  <c r="BW17" i="37"/>
  <c r="BX17" i="37" s="1"/>
  <c r="BY17" i="37" s="1"/>
  <c r="BZ17" i="37" s="1"/>
  <c r="CA17" i="37" s="1"/>
  <c r="CB17" i="37" s="1"/>
  <c r="BW27" i="37"/>
  <c r="BX27" i="37" s="1"/>
  <c r="BY27" i="37" s="1"/>
  <c r="BZ27" i="37" s="1"/>
  <c r="CA27" i="37" s="1"/>
  <c r="CB27" i="37" s="1"/>
  <c r="BW26" i="37"/>
  <c r="BX26" i="37" s="1"/>
  <c r="BY26" i="37" s="1"/>
  <c r="BZ26" i="37" s="1"/>
  <c r="CA26" i="37" s="1"/>
  <c r="CB26" i="37" s="1"/>
  <c r="BW29" i="37"/>
  <c r="BX29" i="37" s="1"/>
  <c r="BY29" i="37" s="1"/>
  <c r="BZ29" i="37" s="1"/>
  <c r="CA29" i="37" s="1"/>
  <c r="CB29" i="37" s="1"/>
  <c r="BW14" i="37"/>
  <c r="BX14" i="37" s="1"/>
  <c r="BY14" i="37" s="1"/>
  <c r="BZ14" i="37" s="1"/>
  <c r="CA14" i="37" s="1"/>
  <c r="CB14" i="37" s="1"/>
  <c r="BU42" i="37"/>
  <c r="BV9" i="37"/>
  <c r="BV42" i="37" l="1"/>
  <c r="BW9" i="37"/>
  <c r="BW42" i="37" l="1"/>
  <c r="BX9" i="37"/>
  <c r="BX42" i="37" l="1"/>
  <c r="BY9" i="37"/>
  <c r="BZ9" i="37" s="1"/>
  <c r="BZ42" i="37" l="1"/>
  <c r="CA9" i="37"/>
  <c r="CC38" i="37" l="1"/>
  <c r="CD38" i="37" s="1"/>
  <c r="CE38" i="37" s="1"/>
  <c r="CF38" i="37" s="1"/>
  <c r="CG38" i="37" s="1"/>
  <c r="CH38" i="37" s="1"/>
  <c r="CC37" i="37"/>
  <c r="CD37" i="37" s="1"/>
  <c r="CE37" i="37" s="1"/>
  <c r="CF37" i="37" s="1"/>
  <c r="CG37" i="37" s="1"/>
  <c r="CH37" i="37" s="1"/>
  <c r="CC39" i="37"/>
  <c r="CD39" i="37" s="1"/>
  <c r="CE39" i="37" s="1"/>
  <c r="CF39" i="37" s="1"/>
  <c r="CG39" i="37" s="1"/>
  <c r="CH39" i="37" s="1"/>
  <c r="CC19" i="37"/>
  <c r="CD19" i="37" s="1"/>
  <c r="CE19" i="37" s="1"/>
  <c r="CF19" i="37" s="1"/>
  <c r="CG19" i="37" s="1"/>
  <c r="CH19" i="37" s="1"/>
  <c r="CC25" i="37"/>
  <c r="CD25" i="37" s="1"/>
  <c r="CE25" i="37" s="1"/>
  <c r="CF25" i="37" s="1"/>
  <c r="CG25" i="37" s="1"/>
  <c r="CH25" i="37" s="1"/>
  <c r="CB9" i="37"/>
  <c r="CA42" i="37"/>
  <c r="CC29" i="37"/>
  <c r="CD29" i="37" s="1"/>
  <c r="CE29" i="37" s="1"/>
  <c r="CF29" i="37" s="1"/>
  <c r="CG29" i="37" s="1"/>
  <c r="CH29" i="37" s="1"/>
  <c r="CC31" i="37"/>
  <c r="CD31" i="37" s="1"/>
  <c r="CE31" i="37" s="1"/>
  <c r="CF31" i="37" s="1"/>
  <c r="CG31" i="37" s="1"/>
  <c r="CH31" i="37" s="1"/>
  <c r="CC26" i="37"/>
  <c r="CD26" i="37" s="1"/>
  <c r="CE26" i="37" s="1"/>
  <c r="CF26" i="37" s="1"/>
  <c r="CG26" i="37" s="1"/>
  <c r="CH26" i="37" s="1"/>
  <c r="CC16" i="37"/>
  <c r="CD16" i="37" s="1"/>
  <c r="CE16" i="37" s="1"/>
  <c r="CF16" i="37" s="1"/>
  <c r="CG16" i="37" s="1"/>
  <c r="CH16" i="37" s="1"/>
  <c r="CC30" i="37"/>
  <c r="CD30" i="37" s="1"/>
  <c r="CE30" i="37" s="1"/>
  <c r="CF30" i="37" s="1"/>
  <c r="CG30" i="37" s="1"/>
  <c r="CH30" i="37" s="1"/>
  <c r="CC14" i="37"/>
  <c r="CD14" i="37" s="1"/>
  <c r="CE14" i="37" s="1"/>
  <c r="CF14" i="37" s="1"/>
  <c r="CG14" i="37" s="1"/>
  <c r="CH14" i="37" s="1"/>
  <c r="CC36" i="37"/>
  <c r="CD36" i="37" s="1"/>
  <c r="CE36" i="37" s="1"/>
  <c r="CF36" i="37" s="1"/>
  <c r="CG36" i="37" s="1"/>
  <c r="CH36" i="37" s="1"/>
  <c r="CC32" i="37"/>
  <c r="CD32" i="37" s="1"/>
  <c r="CE32" i="37" s="1"/>
  <c r="CF32" i="37" s="1"/>
  <c r="CG32" i="37" s="1"/>
  <c r="CH32" i="37" s="1"/>
  <c r="CC22" i="37"/>
  <c r="CD22" i="37" s="1"/>
  <c r="CE22" i="37" s="1"/>
  <c r="CF22" i="37" s="1"/>
  <c r="CG22" i="37" s="1"/>
  <c r="CH22" i="37" s="1"/>
  <c r="CC10" i="37"/>
  <c r="CD10" i="37" s="1"/>
  <c r="CE10" i="37" s="1"/>
  <c r="CF10" i="37" s="1"/>
  <c r="CG10" i="37" s="1"/>
  <c r="CH10" i="37" s="1"/>
  <c r="CC21" i="37"/>
  <c r="CD21" i="37" s="1"/>
  <c r="CE21" i="37" s="1"/>
  <c r="CF21" i="37" s="1"/>
  <c r="CG21" i="37" s="1"/>
  <c r="CH21" i="37" s="1"/>
  <c r="CC23" i="37"/>
  <c r="CD23" i="37" s="1"/>
  <c r="CE23" i="37" s="1"/>
  <c r="CF23" i="37" s="1"/>
  <c r="CG23" i="37" s="1"/>
  <c r="CH23" i="37" s="1"/>
  <c r="CC13" i="37"/>
  <c r="CD13" i="37" s="1"/>
  <c r="CE13" i="37" s="1"/>
  <c r="CF13" i="37" s="1"/>
  <c r="CG13" i="37" s="1"/>
  <c r="CH13" i="37" s="1"/>
  <c r="CC15" i="37"/>
  <c r="CD15" i="37" s="1"/>
  <c r="CE15" i="37" s="1"/>
  <c r="CF15" i="37" s="1"/>
  <c r="CG15" i="37" s="1"/>
  <c r="CH15" i="37" s="1"/>
  <c r="CC35" i="37"/>
  <c r="CD35" i="37" s="1"/>
  <c r="CE35" i="37" s="1"/>
  <c r="CF35" i="37" s="1"/>
  <c r="CG35" i="37" s="1"/>
  <c r="CH35" i="37" s="1"/>
  <c r="CC18" i="37"/>
  <c r="CD18" i="37" s="1"/>
  <c r="CE18" i="37" s="1"/>
  <c r="CF18" i="37" s="1"/>
  <c r="CG18" i="37" s="1"/>
  <c r="CH18" i="37" s="1"/>
  <c r="CC17" i="37"/>
  <c r="CD17" i="37" s="1"/>
  <c r="CE17" i="37" s="1"/>
  <c r="CF17" i="37" s="1"/>
  <c r="CG17" i="37" s="1"/>
  <c r="CH17" i="37" s="1"/>
  <c r="CC33" i="37"/>
  <c r="CD33" i="37" s="1"/>
  <c r="CE33" i="37" s="1"/>
  <c r="CF33" i="37" s="1"/>
  <c r="CG33" i="37" s="1"/>
  <c r="CH33" i="37" s="1"/>
  <c r="CC27" i="37"/>
  <c r="CD27" i="37" s="1"/>
  <c r="CE27" i="37" s="1"/>
  <c r="CF27" i="37" s="1"/>
  <c r="CG27" i="37" s="1"/>
  <c r="CH27" i="37" s="1"/>
  <c r="CC11" i="37"/>
  <c r="CD11" i="37" s="1"/>
  <c r="CE11" i="37" s="1"/>
  <c r="CF11" i="37" s="1"/>
  <c r="CG11" i="37" s="1"/>
  <c r="CH11" i="37" s="1"/>
  <c r="CC24" i="37"/>
  <c r="CD24" i="37" s="1"/>
  <c r="CE24" i="37" s="1"/>
  <c r="CF24" i="37" s="1"/>
  <c r="CG24" i="37" s="1"/>
  <c r="CH24" i="37" s="1"/>
  <c r="CC28" i="37"/>
  <c r="CD28" i="37" s="1"/>
  <c r="CE28" i="37" s="1"/>
  <c r="CF28" i="37" s="1"/>
  <c r="CG28" i="37" s="1"/>
  <c r="CH28" i="37" s="1"/>
  <c r="CC20" i="37"/>
  <c r="CD20" i="37" s="1"/>
  <c r="CE20" i="37" s="1"/>
  <c r="CF20" i="37" s="1"/>
  <c r="CG20" i="37" s="1"/>
  <c r="CH20" i="37" s="1"/>
  <c r="CC34" i="37"/>
  <c r="CD34" i="37" s="1"/>
  <c r="CE34" i="37" s="1"/>
  <c r="CF34" i="37" s="1"/>
  <c r="CG34" i="37" s="1"/>
  <c r="CH34" i="37" s="1"/>
  <c r="CC12" i="37"/>
  <c r="CD12" i="37" s="1"/>
  <c r="CE12" i="37" s="1"/>
  <c r="CF12" i="37" s="1"/>
  <c r="CG12" i="37" s="1"/>
  <c r="CH12" i="37" s="1"/>
  <c r="CB42" i="37" l="1"/>
  <c r="CC9" i="37"/>
  <c r="CD9" i="37" l="1"/>
  <c r="CC42" i="37"/>
  <c r="CE9" i="37" l="1"/>
  <c r="CF9" i="37" s="1"/>
  <c r="CD42" i="37"/>
  <c r="CG9" i="37" l="1"/>
  <c r="CF42" i="37"/>
  <c r="CI39" i="37" l="1"/>
  <c r="CJ39" i="37" s="1"/>
  <c r="CK39" i="37" s="1"/>
  <c r="CL39" i="37" s="1"/>
  <c r="CM39" i="37" s="1"/>
  <c r="CN39" i="37" s="1"/>
  <c r="CI37" i="37"/>
  <c r="CJ37" i="37" s="1"/>
  <c r="CK37" i="37" s="1"/>
  <c r="CL37" i="37" s="1"/>
  <c r="CM37" i="37" s="1"/>
  <c r="CN37" i="37" s="1"/>
  <c r="CI38" i="37"/>
  <c r="CJ38" i="37" s="1"/>
  <c r="CK38" i="37" s="1"/>
  <c r="CL38" i="37" s="1"/>
  <c r="CM38" i="37" s="1"/>
  <c r="CN38" i="37" s="1"/>
  <c r="CI25" i="37"/>
  <c r="CJ25" i="37" s="1"/>
  <c r="CK25" i="37" s="1"/>
  <c r="CL25" i="37" s="1"/>
  <c r="CM25" i="37" s="1"/>
  <c r="CN25" i="37" s="1"/>
  <c r="CI19" i="37"/>
  <c r="CJ19" i="37" s="1"/>
  <c r="CK19" i="37" s="1"/>
  <c r="CL19" i="37" s="1"/>
  <c r="CM19" i="37" s="1"/>
  <c r="CN19" i="37" s="1"/>
  <c r="CI12" i="37"/>
  <c r="CJ12" i="37" s="1"/>
  <c r="CK12" i="37" s="1"/>
  <c r="CL12" i="37" s="1"/>
  <c r="CM12" i="37" s="1"/>
  <c r="CN12" i="37" s="1"/>
  <c r="CI10" i="37"/>
  <c r="CJ10" i="37" s="1"/>
  <c r="CK10" i="37" s="1"/>
  <c r="CL10" i="37" s="1"/>
  <c r="CM10" i="37" s="1"/>
  <c r="CN10" i="37" s="1"/>
  <c r="CI17" i="37"/>
  <c r="CJ17" i="37" s="1"/>
  <c r="CK17" i="37" s="1"/>
  <c r="CL17" i="37" s="1"/>
  <c r="CM17" i="37" s="1"/>
  <c r="CN17" i="37" s="1"/>
  <c r="CI29" i="37"/>
  <c r="CJ29" i="37" s="1"/>
  <c r="CK29" i="37" s="1"/>
  <c r="CL29" i="37" s="1"/>
  <c r="CM29" i="37" s="1"/>
  <c r="CN29" i="37" s="1"/>
  <c r="CI23" i="37"/>
  <c r="CJ23" i="37" s="1"/>
  <c r="CK23" i="37" s="1"/>
  <c r="CL23" i="37" s="1"/>
  <c r="CM23" i="37" s="1"/>
  <c r="CN23" i="37" s="1"/>
  <c r="CI27" i="37"/>
  <c r="CJ27" i="37" s="1"/>
  <c r="CK27" i="37" s="1"/>
  <c r="CL27" i="37" s="1"/>
  <c r="CM27" i="37" s="1"/>
  <c r="CN27" i="37" s="1"/>
  <c r="CI26" i="37"/>
  <c r="CJ26" i="37" s="1"/>
  <c r="CK26" i="37" s="1"/>
  <c r="CL26" i="37" s="1"/>
  <c r="CM26" i="37" s="1"/>
  <c r="CN26" i="37" s="1"/>
  <c r="CI21" i="37"/>
  <c r="CJ21" i="37" s="1"/>
  <c r="CK21" i="37" s="1"/>
  <c r="CL21" i="37" s="1"/>
  <c r="CM21" i="37" s="1"/>
  <c r="CN21" i="37" s="1"/>
  <c r="CI36" i="37"/>
  <c r="CJ36" i="37" s="1"/>
  <c r="CK36" i="37" s="1"/>
  <c r="CL36" i="37" s="1"/>
  <c r="CM36" i="37" s="1"/>
  <c r="CN36" i="37" s="1"/>
  <c r="CI28" i="37"/>
  <c r="CJ28" i="37" s="1"/>
  <c r="CK28" i="37" s="1"/>
  <c r="CL28" i="37" s="1"/>
  <c r="CM28" i="37" s="1"/>
  <c r="CN28" i="37" s="1"/>
  <c r="CI14" i="37"/>
  <c r="CJ14" i="37" s="1"/>
  <c r="CK14" i="37" s="1"/>
  <c r="CL14" i="37" s="1"/>
  <c r="CM14" i="37" s="1"/>
  <c r="CN14" i="37" s="1"/>
  <c r="CI13" i="37"/>
  <c r="CJ13" i="37" s="1"/>
  <c r="CK13" i="37" s="1"/>
  <c r="CL13" i="37" s="1"/>
  <c r="CM13" i="37" s="1"/>
  <c r="CN13" i="37" s="1"/>
  <c r="CI34" i="37"/>
  <c r="CJ34" i="37" s="1"/>
  <c r="CK34" i="37" s="1"/>
  <c r="CL34" i="37" s="1"/>
  <c r="CM34" i="37" s="1"/>
  <c r="CN34" i="37" s="1"/>
  <c r="CI32" i="37"/>
  <c r="CJ32" i="37" s="1"/>
  <c r="CK32" i="37" s="1"/>
  <c r="CL32" i="37" s="1"/>
  <c r="CM32" i="37" s="1"/>
  <c r="CN32" i="37" s="1"/>
  <c r="CI35" i="37"/>
  <c r="CJ35" i="37" s="1"/>
  <c r="CK35" i="37" s="1"/>
  <c r="CL35" i="37" s="1"/>
  <c r="CM35" i="37" s="1"/>
  <c r="CN35" i="37" s="1"/>
  <c r="CI33" i="37"/>
  <c r="CJ33" i="37" s="1"/>
  <c r="CK33" i="37" s="1"/>
  <c r="CL33" i="37" s="1"/>
  <c r="CM33" i="37" s="1"/>
  <c r="CN33" i="37" s="1"/>
  <c r="CI31" i="37"/>
  <c r="CJ31" i="37" s="1"/>
  <c r="CK31" i="37" s="1"/>
  <c r="CL31" i="37" s="1"/>
  <c r="CM31" i="37" s="1"/>
  <c r="CN31" i="37" s="1"/>
  <c r="CI22" i="37"/>
  <c r="CJ22" i="37" s="1"/>
  <c r="CK22" i="37" s="1"/>
  <c r="CL22" i="37" s="1"/>
  <c r="CM22" i="37" s="1"/>
  <c r="CN22" i="37" s="1"/>
  <c r="CI11" i="37"/>
  <c r="CJ11" i="37" s="1"/>
  <c r="CK11" i="37" s="1"/>
  <c r="CL11" i="37" s="1"/>
  <c r="CM11" i="37" s="1"/>
  <c r="CN11" i="37" s="1"/>
  <c r="CI16" i="37"/>
  <c r="CJ16" i="37" s="1"/>
  <c r="CK16" i="37" s="1"/>
  <c r="CL16" i="37" s="1"/>
  <c r="CM16" i="37" s="1"/>
  <c r="CN16" i="37" s="1"/>
  <c r="CI15" i="37"/>
  <c r="CJ15" i="37" s="1"/>
  <c r="CK15" i="37" s="1"/>
  <c r="CL15" i="37" s="1"/>
  <c r="CM15" i="37" s="1"/>
  <c r="CN15" i="37" s="1"/>
  <c r="CI24" i="37"/>
  <c r="CJ24" i="37" s="1"/>
  <c r="CK24" i="37" s="1"/>
  <c r="CL24" i="37" s="1"/>
  <c r="CM24" i="37" s="1"/>
  <c r="CN24" i="37" s="1"/>
  <c r="CI30" i="37"/>
  <c r="CJ30" i="37" s="1"/>
  <c r="CK30" i="37" s="1"/>
  <c r="CL30" i="37" s="1"/>
  <c r="CM30" i="37" s="1"/>
  <c r="CN30" i="37" s="1"/>
  <c r="CI18" i="37"/>
  <c r="CJ18" i="37" s="1"/>
  <c r="CK18" i="37" s="1"/>
  <c r="CL18" i="37" s="1"/>
  <c r="CM18" i="37" s="1"/>
  <c r="CN18" i="37" s="1"/>
  <c r="CI20" i="37"/>
  <c r="CJ20" i="37" s="1"/>
  <c r="CK20" i="37" s="1"/>
  <c r="CL20" i="37" s="1"/>
  <c r="CM20" i="37" s="1"/>
  <c r="CN20" i="37" s="1"/>
  <c r="CG42" i="37"/>
  <c r="CH9" i="37"/>
  <c r="CI9" i="37" l="1"/>
  <c r="CH42" i="37"/>
  <c r="CJ9" i="37" l="1"/>
  <c r="CI42" i="37"/>
  <c r="CK9" i="37" l="1"/>
  <c r="CL9" i="37" s="1"/>
  <c r="CJ42" i="37"/>
  <c r="CM9" i="37" l="1"/>
  <c r="CL42" i="37"/>
  <c r="CO38" i="37" l="1"/>
  <c r="CP38" i="37" s="1"/>
  <c r="CQ38" i="37" s="1"/>
  <c r="CR38" i="37" s="1"/>
  <c r="CS38" i="37" s="1"/>
  <c r="CT38" i="37" s="1"/>
  <c r="CO37" i="37"/>
  <c r="CP37" i="37" s="1"/>
  <c r="CQ37" i="37" s="1"/>
  <c r="CR37" i="37" s="1"/>
  <c r="CS37" i="37" s="1"/>
  <c r="CT37" i="37" s="1"/>
  <c r="CO39" i="37"/>
  <c r="CP39" i="37" s="1"/>
  <c r="CQ39" i="37" s="1"/>
  <c r="CR39" i="37" s="1"/>
  <c r="CS39" i="37" s="1"/>
  <c r="CT39" i="37" s="1"/>
  <c r="CO19" i="37"/>
  <c r="CP19" i="37" s="1"/>
  <c r="CQ19" i="37" s="1"/>
  <c r="CR19" i="37" s="1"/>
  <c r="CS19" i="37" s="1"/>
  <c r="CT19" i="37" s="1"/>
  <c r="CO25" i="37"/>
  <c r="CP25" i="37" s="1"/>
  <c r="CQ25" i="37" s="1"/>
  <c r="CR25" i="37" s="1"/>
  <c r="CS25" i="37" s="1"/>
  <c r="CT25" i="37" s="1"/>
  <c r="CO18" i="37"/>
  <c r="CP18" i="37" s="1"/>
  <c r="CQ18" i="37" s="1"/>
  <c r="CR18" i="37" s="1"/>
  <c r="CS18" i="37" s="1"/>
  <c r="CT18" i="37" s="1"/>
  <c r="CO21" i="37"/>
  <c r="CP21" i="37" s="1"/>
  <c r="CQ21" i="37" s="1"/>
  <c r="CR21" i="37" s="1"/>
  <c r="CS21" i="37" s="1"/>
  <c r="CT21" i="37" s="1"/>
  <c r="CO14" i="37"/>
  <c r="CP14" i="37" s="1"/>
  <c r="CQ14" i="37" s="1"/>
  <c r="CR14" i="37" s="1"/>
  <c r="CS14" i="37" s="1"/>
  <c r="CT14" i="37" s="1"/>
  <c r="CO22" i="37"/>
  <c r="CP22" i="37" s="1"/>
  <c r="CQ22" i="37" s="1"/>
  <c r="CR22" i="37" s="1"/>
  <c r="CS22" i="37" s="1"/>
  <c r="CT22" i="37" s="1"/>
  <c r="CO10" i="37"/>
  <c r="CP10" i="37" s="1"/>
  <c r="CQ10" i="37" s="1"/>
  <c r="CR10" i="37" s="1"/>
  <c r="CS10" i="37" s="1"/>
  <c r="CT10" i="37" s="1"/>
  <c r="CO36" i="37"/>
  <c r="CP36" i="37" s="1"/>
  <c r="CQ36" i="37" s="1"/>
  <c r="CR36" i="37" s="1"/>
  <c r="CS36" i="37" s="1"/>
  <c r="CT36" i="37" s="1"/>
  <c r="CO24" i="37"/>
  <c r="CP24" i="37" s="1"/>
  <c r="CQ24" i="37" s="1"/>
  <c r="CR24" i="37" s="1"/>
  <c r="CS24" i="37" s="1"/>
  <c r="CT24" i="37" s="1"/>
  <c r="CO16" i="37"/>
  <c r="CP16" i="37" s="1"/>
  <c r="CQ16" i="37" s="1"/>
  <c r="CR16" i="37" s="1"/>
  <c r="CS16" i="37" s="1"/>
  <c r="CT16" i="37" s="1"/>
  <c r="CO29" i="37"/>
  <c r="CP29" i="37" s="1"/>
  <c r="CQ29" i="37" s="1"/>
  <c r="CR29" i="37" s="1"/>
  <c r="CS29" i="37" s="1"/>
  <c r="CT29" i="37" s="1"/>
  <c r="CO30" i="37"/>
  <c r="CP30" i="37" s="1"/>
  <c r="CQ30" i="37" s="1"/>
  <c r="CR30" i="37" s="1"/>
  <c r="CS30" i="37" s="1"/>
  <c r="CT30" i="37" s="1"/>
  <c r="CO26" i="37"/>
  <c r="CP26" i="37" s="1"/>
  <c r="CQ26" i="37" s="1"/>
  <c r="CR26" i="37" s="1"/>
  <c r="CS26" i="37" s="1"/>
  <c r="CT26" i="37" s="1"/>
  <c r="CO32" i="37"/>
  <c r="CP32" i="37" s="1"/>
  <c r="CQ32" i="37" s="1"/>
  <c r="CR32" i="37" s="1"/>
  <c r="CS32" i="37" s="1"/>
  <c r="CT32" i="37" s="1"/>
  <c r="CO15" i="37"/>
  <c r="CP15" i="37" s="1"/>
  <c r="CQ15" i="37" s="1"/>
  <c r="CR15" i="37" s="1"/>
  <c r="CS15" i="37" s="1"/>
  <c r="CT15" i="37" s="1"/>
  <c r="CO23" i="37"/>
  <c r="CP23" i="37" s="1"/>
  <c r="CQ23" i="37" s="1"/>
  <c r="CR23" i="37" s="1"/>
  <c r="CS23" i="37" s="1"/>
  <c r="CT23" i="37" s="1"/>
  <c r="CO12" i="37"/>
  <c r="CP12" i="37" s="1"/>
  <c r="CQ12" i="37" s="1"/>
  <c r="CR12" i="37" s="1"/>
  <c r="CS12" i="37" s="1"/>
  <c r="CT12" i="37" s="1"/>
  <c r="CO33" i="37"/>
  <c r="CP33" i="37" s="1"/>
  <c r="CQ33" i="37" s="1"/>
  <c r="CR33" i="37" s="1"/>
  <c r="CS33" i="37" s="1"/>
  <c r="CT33" i="37" s="1"/>
  <c r="CO20" i="37"/>
  <c r="CP20" i="37" s="1"/>
  <c r="CQ20" i="37" s="1"/>
  <c r="CR20" i="37" s="1"/>
  <c r="CS20" i="37" s="1"/>
  <c r="CT20" i="37" s="1"/>
  <c r="CO11" i="37"/>
  <c r="CP11" i="37" s="1"/>
  <c r="CQ11" i="37" s="1"/>
  <c r="CR11" i="37" s="1"/>
  <c r="CS11" i="37" s="1"/>
  <c r="CT11" i="37" s="1"/>
  <c r="CO17" i="37"/>
  <c r="CP17" i="37" s="1"/>
  <c r="CQ17" i="37" s="1"/>
  <c r="CR17" i="37" s="1"/>
  <c r="CS17" i="37" s="1"/>
  <c r="CT17" i="37" s="1"/>
  <c r="CO28" i="37"/>
  <c r="CP28" i="37" s="1"/>
  <c r="CQ28" i="37" s="1"/>
  <c r="CR28" i="37" s="1"/>
  <c r="CS28" i="37" s="1"/>
  <c r="CT28" i="37" s="1"/>
  <c r="CO31" i="37"/>
  <c r="CP31" i="37" s="1"/>
  <c r="CQ31" i="37" s="1"/>
  <c r="CR31" i="37" s="1"/>
  <c r="CS31" i="37" s="1"/>
  <c r="CT31" i="37" s="1"/>
  <c r="CO27" i="37"/>
  <c r="CP27" i="37" s="1"/>
  <c r="CQ27" i="37" s="1"/>
  <c r="CR27" i="37" s="1"/>
  <c r="CS27" i="37" s="1"/>
  <c r="CT27" i="37" s="1"/>
  <c r="CO13" i="37"/>
  <c r="CP13" i="37" s="1"/>
  <c r="CQ13" i="37" s="1"/>
  <c r="CR13" i="37" s="1"/>
  <c r="CS13" i="37" s="1"/>
  <c r="CT13" i="37" s="1"/>
  <c r="CO35" i="37"/>
  <c r="CP35" i="37" s="1"/>
  <c r="CQ35" i="37" s="1"/>
  <c r="CR35" i="37" s="1"/>
  <c r="CS35" i="37" s="1"/>
  <c r="CT35" i="37" s="1"/>
  <c r="CO34" i="37"/>
  <c r="CP34" i="37" s="1"/>
  <c r="CQ34" i="37" s="1"/>
  <c r="CR34" i="37" s="1"/>
  <c r="CS34" i="37" s="1"/>
  <c r="CT34" i="37" s="1"/>
  <c r="CN9" i="37"/>
  <c r="CM42" i="37"/>
  <c r="CO9" i="37" l="1"/>
  <c r="CN42" i="37"/>
  <c r="CP9" i="37" l="1"/>
  <c r="CO42" i="37"/>
  <c r="CP42" i="37" l="1"/>
  <c r="CQ9" i="37"/>
  <c r="CR9" i="37" s="1"/>
  <c r="CS9" i="37" l="1"/>
  <c r="CR42" i="37"/>
  <c r="CU39" i="37" l="1"/>
  <c r="CV39" i="37" s="1"/>
  <c r="CW39" i="37" s="1"/>
  <c r="CX39" i="37" s="1"/>
  <c r="CY39" i="37" s="1"/>
  <c r="CZ39" i="37" s="1"/>
  <c r="CU37" i="37"/>
  <c r="CV37" i="37" s="1"/>
  <c r="CW37" i="37" s="1"/>
  <c r="CX37" i="37" s="1"/>
  <c r="CY37" i="37" s="1"/>
  <c r="CZ37" i="37" s="1"/>
  <c r="CU38" i="37"/>
  <c r="CV38" i="37" s="1"/>
  <c r="CW38" i="37" s="1"/>
  <c r="CX38" i="37" s="1"/>
  <c r="CY38" i="37" s="1"/>
  <c r="CZ38" i="37" s="1"/>
  <c r="CU25" i="37"/>
  <c r="CV25" i="37" s="1"/>
  <c r="CW25" i="37" s="1"/>
  <c r="CX25" i="37" s="1"/>
  <c r="CY25" i="37" s="1"/>
  <c r="CZ25" i="37" s="1"/>
  <c r="CU19" i="37"/>
  <c r="CV19" i="37" s="1"/>
  <c r="CW19" i="37" s="1"/>
  <c r="CX19" i="37" s="1"/>
  <c r="CY19" i="37" s="1"/>
  <c r="CZ19" i="37" s="1"/>
  <c r="CU35" i="37"/>
  <c r="CV35" i="37" s="1"/>
  <c r="CW35" i="37" s="1"/>
  <c r="CX35" i="37" s="1"/>
  <c r="CY35" i="37" s="1"/>
  <c r="CZ35" i="37" s="1"/>
  <c r="CU16" i="37"/>
  <c r="CV16" i="37" s="1"/>
  <c r="CW16" i="37" s="1"/>
  <c r="CX16" i="37" s="1"/>
  <c r="CY16" i="37" s="1"/>
  <c r="CZ16" i="37" s="1"/>
  <c r="CU17" i="37"/>
  <c r="CV17" i="37" s="1"/>
  <c r="CW17" i="37" s="1"/>
  <c r="CX17" i="37" s="1"/>
  <c r="CY17" i="37" s="1"/>
  <c r="CZ17" i="37" s="1"/>
  <c r="CU14" i="37"/>
  <c r="CV14" i="37" s="1"/>
  <c r="CW14" i="37" s="1"/>
  <c r="CX14" i="37" s="1"/>
  <c r="CY14" i="37" s="1"/>
  <c r="CZ14" i="37" s="1"/>
  <c r="CU30" i="37"/>
  <c r="CV30" i="37" s="1"/>
  <c r="CW30" i="37" s="1"/>
  <c r="CX30" i="37" s="1"/>
  <c r="CY30" i="37" s="1"/>
  <c r="CZ30" i="37" s="1"/>
  <c r="CU29" i="37"/>
  <c r="CV29" i="37" s="1"/>
  <c r="CW29" i="37" s="1"/>
  <c r="CX29" i="37" s="1"/>
  <c r="CY29" i="37" s="1"/>
  <c r="CZ29" i="37" s="1"/>
  <c r="CU28" i="37"/>
  <c r="CV28" i="37" s="1"/>
  <c r="CW28" i="37" s="1"/>
  <c r="CX28" i="37" s="1"/>
  <c r="CY28" i="37" s="1"/>
  <c r="CZ28" i="37" s="1"/>
  <c r="CU22" i="37"/>
  <c r="CV22" i="37" s="1"/>
  <c r="CW22" i="37" s="1"/>
  <c r="CX22" i="37" s="1"/>
  <c r="CY22" i="37" s="1"/>
  <c r="CZ22" i="37" s="1"/>
  <c r="CU12" i="37"/>
  <c r="CV12" i="37" s="1"/>
  <c r="CW12" i="37" s="1"/>
  <c r="CX12" i="37" s="1"/>
  <c r="CY12" i="37" s="1"/>
  <c r="CZ12" i="37" s="1"/>
  <c r="CU27" i="37"/>
  <c r="CV27" i="37" s="1"/>
  <c r="CW27" i="37" s="1"/>
  <c r="CX27" i="37" s="1"/>
  <c r="CY27" i="37" s="1"/>
  <c r="CZ27" i="37" s="1"/>
  <c r="CU36" i="37"/>
  <c r="CV36" i="37" s="1"/>
  <c r="CW36" i="37" s="1"/>
  <c r="CX36" i="37" s="1"/>
  <c r="CY36" i="37" s="1"/>
  <c r="CZ36" i="37" s="1"/>
  <c r="CU31" i="37"/>
  <c r="CV31" i="37" s="1"/>
  <c r="CW31" i="37" s="1"/>
  <c r="CX31" i="37" s="1"/>
  <c r="CY31" i="37" s="1"/>
  <c r="CZ31" i="37" s="1"/>
  <c r="CU10" i="37"/>
  <c r="CV10" i="37" s="1"/>
  <c r="CW10" i="37" s="1"/>
  <c r="CX10" i="37" s="1"/>
  <c r="CY10" i="37" s="1"/>
  <c r="CZ10" i="37" s="1"/>
  <c r="CU20" i="37"/>
  <c r="CV20" i="37" s="1"/>
  <c r="CW20" i="37" s="1"/>
  <c r="CX20" i="37" s="1"/>
  <c r="CY20" i="37" s="1"/>
  <c r="CZ20" i="37" s="1"/>
  <c r="CU15" i="37"/>
  <c r="CV15" i="37" s="1"/>
  <c r="CW15" i="37" s="1"/>
  <c r="CX15" i="37" s="1"/>
  <c r="CY15" i="37" s="1"/>
  <c r="CZ15" i="37" s="1"/>
  <c r="CU33" i="37"/>
  <c r="CV33" i="37" s="1"/>
  <c r="CW33" i="37" s="1"/>
  <c r="CX33" i="37" s="1"/>
  <c r="CY33" i="37" s="1"/>
  <c r="CZ33" i="37" s="1"/>
  <c r="CU34" i="37"/>
  <c r="CV34" i="37" s="1"/>
  <c r="CW34" i="37" s="1"/>
  <c r="CX34" i="37" s="1"/>
  <c r="CY34" i="37" s="1"/>
  <c r="CZ34" i="37" s="1"/>
  <c r="CU26" i="37"/>
  <c r="CV26" i="37" s="1"/>
  <c r="CW26" i="37" s="1"/>
  <c r="CX26" i="37" s="1"/>
  <c r="CY26" i="37" s="1"/>
  <c r="CZ26" i="37" s="1"/>
  <c r="CU11" i="37"/>
  <c r="CV11" i="37" s="1"/>
  <c r="CW11" i="37" s="1"/>
  <c r="CX11" i="37" s="1"/>
  <c r="CY11" i="37" s="1"/>
  <c r="CZ11" i="37" s="1"/>
  <c r="CU21" i="37"/>
  <c r="CV21" i="37" s="1"/>
  <c r="CW21" i="37" s="1"/>
  <c r="CX21" i="37" s="1"/>
  <c r="CY21" i="37" s="1"/>
  <c r="CZ21" i="37" s="1"/>
  <c r="CU18" i="37"/>
  <c r="CV18" i="37" s="1"/>
  <c r="CW18" i="37" s="1"/>
  <c r="CX18" i="37" s="1"/>
  <c r="CY18" i="37" s="1"/>
  <c r="CZ18" i="37" s="1"/>
  <c r="CU32" i="37"/>
  <c r="CV32" i="37" s="1"/>
  <c r="CW32" i="37" s="1"/>
  <c r="CX32" i="37" s="1"/>
  <c r="CY32" i="37" s="1"/>
  <c r="CZ32" i="37" s="1"/>
  <c r="CU13" i="37"/>
  <c r="CV13" i="37" s="1"/>
  <c r="CW13" i="37" s="1"/>
  <c r="CX13" i="37" s="1"/>
  <c r="CY13" i="37" s="1"/>
  <c r="CZ13" i="37" s="1"/>
  <c r="CU24" i="37"/>
  <c r="CV24" i="37" s="1"/>
  <c r="CW24" i="37" s="1"/>
  <c r="CX24" i="37" s="1"/>
  <c r="CY24" i="37" s="1"/>
  <c r="CZ24" i="37" s="1"/>
  <c r="CU23" i="37"/>
  <c r="CV23" i="37" s="1"/>
  <c r="CW23" i="37" s="1"/>
  <c r="CX23" i="37" s="1"/>
  <c r="CY23" i="37" s="1"/>
  <c r="CZ23" i="37" s="1"/>
  <c r="CT9" i="37"/>
  <c r="CS42" i="37"/>
  <c r="CT42" i="37" l="1"/>
  <c r="CU9" i="37"/>
  <c r="CV9" i="37" l="1"/>
  <c r="CU42" i="37"/>
  <c r="CV42" i="37" l="1"/>
  <c r="CW9" i="37"/>
  <c r="CX9" i="37" s="1"/>
  <c r="CY9" i="37" l="1"/>
  <c r="CX42" i="37"/>
  <c r="DA38" i="37" l="1"/>
  <c r="DB38" i="37" s="1"/>
  <c r="DC38" i="37" s="1"/>
  <c r="DD38" i="37" s="1"/>
  <c r="DE38" i="37" s="1"/>
  <c r="DF38" i="37" s="1"/>
  <c r="DA37" i="37"/>
  <c r="DB37" i="37" s="1"/>
  <c r="DC37" i="37" s="1"/>
  <c r="DD37" i="37" s="1"/>
  <c r="DE37" i="37" s="1"/>
  <c r="DF37" i="37" s="1"/>
  <c r="DA39" i="37"/>
  <c r="DB39" i="37" s="1"/>
  <c r="DC39" i="37" s="1"/>
  <c r="DD39" i="37" s="1"/>
  <c r="DE39" i="37" s="1"/>
  <c r="DF39" i="37" s="1"/>
  <c r="DA19" i="37"/>
  <c r="DB19" i="37" s="1"/>
  <c r="DC19" i="37" s="1"/>
  <c r="DD19" i="37" s="1"/>
  <c r="DE19" i="37" s="1"/>
  <c r="DF19" i="37" s="1"/>
  <c r="DA25" i="37"/>
  <c r="DB25" i="37" s="1"/>
  <c r="DC25" i="37" s="1"/>
  <c r="DD25" i="37" s="1"/>
  <c r="DE25" i="37" s="1"/>
  <c r="DF25" i="37" s="1"/>
  <c r="DA23" i="37"/>
  <c r="DB23" i="37" s="1"/>
  <c r="DC23" i="37" s="1"/>
  <c r="DD23" i="37" s="1"/>
  <c r="DE23" i="37" s="1"/>
  <c r="DF23" i="37" s="1"/>
  <c r="DA31" i="37"/>
  <c r="DB31" i="37" s="1"/>
  <c r="DC31" i="37" s="1"/>
  <c r="DD31" i="37" s="1"/>
  <c r="DE31" i="37" s="1"/>
  <c r="DF31" i="37" s="1"/>
  <c r="DA11" i="37"/>
  <c r="DB11" i="37" s="1"/>
  <c r="DC11" i="37" s="1"/>
  <c r="DD11" i="37" s="1"/>
  <c r="DE11" i="37" s="1"/>
  <c r="DF11" i="37" s="1"/>
  <c r="DA17" i="37"/>
  <c r="DB17" i="37" s="1"/>
  <c r="DC17" i="37" s="1"/>
  <c r="DD17" i="37" s="1"/>
  <c r="DE17" i="37" s="1"/>
  <c r="DF17" i="37" s="1"/>
  <c r="DA27" i="37"/>
  <c r="DB27" i="37" s="1"/>
  <c r="DC27" i="37" s="1"/>
  <c r="DD27" i="37" s="1"/>
  <c r="DE27" i="37" s="1"/>
  <c r="DF27" i="37" s="1"/>
  <c r="DA24" i="37"/>
  <c r="DB24" i="37" s="1"/>
  <c r="DC24" i="37" s="1"/>
  <c r="DD24" i="37" s="1"/>
  <c r="DE24" i="37" s="1"/>
  <c r="DF24" i="37" s="1"/>
  <c r="DA22" i="37"/>
  <c r="DB22" i="37" s="1"/>
  <c r="DC22" i="37" s="1"/>
  <c r="DD22" i="37" s="1"/>
  <c r="DE22" i="37" s="1"/>
  <c r="DF22" i="37" s="1"/>
  <c r="DA15" i="37"/>
  <c r="DB15" i="37" s="1"/>
  <c r="DC15" i="37" s="1"/>
  <c r="DD15" i="37" s="1"/>
  <c r="DE15" i="37" s="1"/>
  <c r="DF15" i="37" s="1"/>
  <c r="DA32" i="37"/>
  <c r="DB32" i="37" s="1"/>
  <c r="DC32" i="37" s="1"/>
  <c r="DD32" i="37" s="1"/>
  <c r="DE32" i="37" s="1"/>
  <c r="DF32" i="37" s="1"/>
  <c r="DA29" i="37"/>
  <c r="DB29" i="37" s="1"/>
  <c r="DC29" i="37" s="1"/>
  <c r="DD29" i="37" s="1"/>
  <c r="DE29" i="37" s="1"/>
  <c r="DF29" i="37" s="1"/>
  <c r="DA18" i="37"/>
  <c r="DB18" i="37" s="1"/>
  <c r="DC18" i="37" s="1"/>
  <c r="DD18" i="37" s="1"/>
  <c r="DE18" i="37" s="1"/>
  <c r="DF18" i="37" s="1"/>
  <c r="DA30" i="37"/>
  <c r="DB30" i="37" s="1"/>
  <c r="DC30" i="37" s="1"/>
  <c r="DD30" i="37" s="1"/>
  <c r="DE30" i="37" s="1"/>
  <c r="DF30" i="37" s="1"/>
  <c r="DA35" i="37"/>
  <c r="DB35" i="37" s="1"/>
  <c r="DC35" i="37" s="1"/>
  <c r="DD35" i="37" s="1"/>
  <c r="DE35" i="37" s="1"/>
  <c r="DF35" i="37" s="1"/>
  <c r="DA12" i="37"/>
  <c r="DB12" i="37" s="1"/>
  <c r="DC12" i="37" s="1"/>
  <c r="DD12" i="37" s="1"/>
  <c r="DE12" i="37" s="1"/>
  <c r="DF12" i="37" s="1"/>
  <c r="DA21" i="37"/>
  <c r="DB21" i="37" s="1"/>
  <c r="DC21" i="37" s="1"/>
  <c r="DD21" i="37" s="1"/>
  <c r="DE21" i="37" s="1"/>
  <c r="DF21" i="37" s="1"/>
  <c r="DA14" i="37"/>
  <c r="DB14" i="37" s="1"/>
  <c r="DC14" i="37" s="1"/>
  <c r="DD14" i="37" s="1"/>
  <c r="DE14" i="37" s="1"/>
  <c r="DF14" i="37" s="1"/>
  <c r="DA36" i="37"/>
  <c r="DB36" i="37" s="1"/>
  <c r="DC36" i="37" s="1"/>
  <c r="DD36" i="37" s="1"/>
  <c r="DE36" i="37" s="1"/>
  <c r="DF36" i="37" s="1"/>
  <c r="DA26" i="37"/>
  <c r="DB26" i="37" s="1"/>
  <c r="DC26" i="37" s="1"/>
  <c r="DD26" i="37" s="1"/>
  <c r="DE26" i="37" s="1"/>
  <c r="DF26" i="37" s="1"/>
  <c r="DA16" i="37"/>
  <c r="DB16" i="37" s="1"/>
  <c r="DC16" i="37" s="1"/>
  <c r="DD16" i="37" s="1"/>
  <c r="DE16" i="37" s="1"/>
  <c r="DF16" i="37" s="1"/>
  <c r="DA34" i="37"/>
  <c r="DB34" i="37" s="1"/>
  <c r="DC34" i="37" s="1"/>
  <c r="DD34" i="37" s="1"/>
  <c r="DE34" i="37" s="1"/>
  <c r="DF34" i="37" s="1"/>
  <c r="DA10" i="37"/>
  <c r="DB10" i="37" s="1"/>
  <c r="DC10" i="37" s="1"/>
  <c r="DD10" i="37" s="1"/>
  <c r="DE10" i="37" s="1"/>
  <c r="DF10" i="37" s="1"/>
  <c r="DA33" i="37"/>
  <c r="DB33" i="37" s="1"/>
  <c r="DC33" i="37" s="1"/>
  <c r="DD33" i="37" s="1"/>
  <c r="DE33" i="37" s="1"/>
  <c r="DF33" i="37" s="1"/>
  <c r="DA13" i="37"/>
  <c r="DB13" i="37" s="1"/>
  <c r="DC13" i="37" s="1"/>
  <c r="DD13" i="37" s="1"/>
  <c r="DE13" i="37" s="1"/>
  <c r="DF13" i="37" s="1"/>
  <c r="DA28" i="37"/>
  <c r="DB28" i="37" s="1"/>
  <c r="DC28" i="37" s="1"/>
  <c r="DD28" i="37" s="1"/>
  <c r="DE28" i="37" s="1"/>
  <c r="DF28" i="37" s="1"/>
  <c r="DA20" i="37"/>
  <c r="DB20" i="37" s="1"/>
  <c r="DC20" i="37" s="1"/>
  <c r="DD20" i="37" s="1"/>
  <c r="DE20" i="37" s="1"/>
  <c r="DF20" i="37" s="1"/>
  <c r="CZ9" i="37"/>
  <c r="CY42" i="37"/>
  <c r="CZ42" i="37" l="1"/>
  <c r="DA9" i="37"/>
  <c r="DB9" i="37" l="1"/>
  <c r="DA42" i="37"/>
  <c r="DC9" i="37" l="1"/>
  <c r="DD9" i="37" s="1"/>
  <c r="DB42" i="37"/>
  <c r="DD42" i="37" l="1"/>
  <c r="DE9" i="37"/>
  <c r="DG39" i="37" l="1"/>
  <c r="DH39" i="37" s="1"/>
  <c r="DI39" i="37" s="1"/>
  <c r="DJ39" i="37" s="1"/>
  <c r="DK39" i="37" s="1"/>
  <c r="DL39" i="37" s="1"/>
  <c r="DG37" i="37"/>
  <c r="DH37" i="37" s="1"/>
  <c r="DI37" i="37" s="1"/>
  <c r="DJ37" i="37" s="1"/>
  <c r="DK37" i="37" s="1"/>
  <c r="DL37" i="37" s="1"/>
  <c r="DG38" i="37"/>
  <c r="DH38" i="37" s="1"/>
  <c r="DI38" i="37" s="1"/>
  <c r="DJ38" i="37" s="1"/>
  <c r="DK38" i="37" s="1"/>
  <c r="DL38" i="37" s="1"/>
  <c r="DG25" i="37"/>
  <c r="DH25" i="37" s="1"/>
  <c r="DI25" i="37" s="1"/>
  <c r="DJ25" i="37" s="1"/>
  <c r="DK25" i="37" s="1"/>
  <c r="DL25" i="37" s="1"/>
  <c r="DG19" i="37"/>
  <c r="DH19" i="37" s="1"/>
  <c r="DI19" i="37" s="1"/>
  <c r="DJ19" i="37" s="1"/>
  <c r="DK19" i="37" s="1"/>
  <c r="DL19" i="37" s="1"/>
  <c r="DE42" i="37"/>
  <c r="DF9" i="37"/>
  <c r="DG20" i="37"/>
  <c r="DH20" i="37" s="1"/>
  <c r="DI20" i="37" s="1"/>
  <c r="DJ20" i="37" s="1"/>
  <c r="DK20" i="37" s="1"/>
  <c r="DL20" i="37" s="1"/>
  <c r="DG30" i="37"/>
  <c r="DH30" i="37" s="1"/>
  <c r="DI30" i="37" s="1"/>
  <c r="DJ30" i="37" s="1"/>
  <c r="DK30" i="37" s="1"/>
  <c r="DL30" i="37" s="1"/>
  <c r="DG16" i="37"/>
  <c r="DH16" i="37" s="1"/>
  <c r="DI16" i="37" s="1"/>
  <c r="DJ16" i="37" s="1"/>
  <c r="DK16" i="37" s="1"/>
  <c r="DL16" i="37" s="1"/>
  <c r="DG11" i="37"/>
  <c r="DH11" i="37" s="1"/>
  <c r="DI11" i="37" s="1"/>
  <c r="DJ11" i="37" s="1"/>
  <c r="DK11" i="37" s="1"/>
  <c r="DL11" i="37" s="1"/>
  <c r="DG29" i="37"/>
  <c r="DH29" i="37" s="1"/>
  <c r="DI29" i="37" s="1"/>
  <c r="DJ29" i="37" s="1"/>
  <c r="DK29" i="37" s="1"/>
  <c r="DL29" i="37" s="1"/>
  <c r="DG28" i="37"/>
  <c r="DH28" i="37" s="1"/>
  <c r="DI28" i="37" s="1"/>
  <c r="DJ28" i="37" s="1"/>
  <c r="DK28" i="37" s="1"/>
  <c r="DL28" i="37" s="1"/>
  <c r="DG15" i="37"/>
  <c r="DH15" i="37" s="1"/>
  <c r="DI15" i="37" s="1"/>
  <c r="DJ15" i="37" s="1"/>
  <c r="DK15" i="37" s="1"/>
  <c r="DL15" i="37" s="1"/>
  <c r="DG21" i="37"/>
  <c r="DH21" i="37" s="1"/>
  <c r="DI21" i="37" s="1"/>
  <c r="DJ21" i="37" s="1"/>
  <c r="DK21" i="37" s="1"/>
  <c r="DL21" i="37" s="1"/>
  <c r="DG33" i="37"/>
  <c r="DH33" i="37" s="1"/>
  <c r="DI33" i="37" s="1"/>
  <c r="DJ33" i="37" s="1"/>
  <c r="DK33" i="37" s="1"/>
  <c r="DL33" i="37" s="1"/>
  <c r="DG24" i="37"/>
  <c r="DH24" i="37" s="1"/>
  <c r="DI24" i="37" s="1"/>
  <c r="DJ24" i="37" s="1"/>
  <c r="DK24" i="37" s="1"/>
  <c r="DL24" i="37" s="1"/>
  <c r="DG10" i="37"/>
  <c r="DH10" i="37" s="1"/>
  <c r="DI10" i="37" s="1"/>
  <c r="DJ10" i="37" s="1"/>
  <c r="DK10" i="37" s="1"/>
  <c r="DL10" i="37" s="1"/>
  <c r="DG27" i="37"/>
  <c r="DH27" i="37" s="1"/>
  <c r="DI27" i="37" s="1"/>
  <c r="DJ27" i="37" s="1"/>
  <c r="DK27" i="37" s="1"/>
  <c r="DL27" i="37" s="1"/>
  <c r="DG23" i="37"/>
  <c r="DH23" i="37" s="1"/>
  <c r="DI23" i="37" s="1"/>
  <c r="DJ23" i="37" s="1"/>
  <c r="DK23" i="37" s="1"/>
  <c r="DL23" i="37" s="1"/>
  <c r="DG32" i="37"/>
  <c r="DH32" i="37" s="1"/>
  <c r="DI32" i="37" s="1"/>
  <c r="DJ32" i="37" s="1"/>
  <c r="DK32" i="37" s="1"/>
  <c r="DL32" i="37" s="1"/>
  <c r="DG34" i="37"/>
  <c r="DH34" i="37" s="1"/>
  <c r="DI34" i="37" s="1"/>
  <c r="DJ34" i="37" s="1"/>
  <c r="DK34" i="37" s="1"/>
  <c r="DL34" i="37" s="1"/>
  <c r="DG17" i="37"/>
  <c r="DH17" i="37" s="1"/>
  <c r="DI17" i="37" s="1"/>
  <c r="DJ17" i="37" s="1"/>
  <c r="DK17" i="37" s="1"/>
  <c r="DL17" i="37" s="1"/>
  <c r="DG18" i="37"/>
  <c r="DH18" i="37" s="1"/>
  <c r="DI18" i="37" s="1"/>
  <c r="DJ18" i="37" s="1"/>
  <c r="DK18" i="37" s="1"/>
  <c r="DL18" i="37" s="1"/>
  <c r="DG26" i="37"/>
  <c r="DH26" i="37" s="1"/>
  <c r="DI26" i="37" s="1"/>
  <c r="DJ26" i="37" s="1"/>
  <c r="DK26" i="37" s="1"/>
  <c r="DL26" i="37" s="1"/>
  <c r="DG31" i="37"/>
  <c r="DH31" i="37" s="1"/>
  <c r="DI31" i="37" s="1"/>
  <c r="DJ31" i="37" s="1"/>
  <c r="DK31" i="37" s="1"/>
  <c r="DL31" i="37" s="1"/>
  <c r="DG36" i="37"/>
  <c r="DH36" i="37" s="1"/>
  <c r="DI36" i="37" s="1"/>
  <c r="DJ36" i="37" s="1"/>
  <c r="DK36" i="37" s="1"/>
  <c r="DL36" i="37" s="1"/>
  <c r="DG35" i="37"/>
  <c r="DH35" i="37" s="1"/>
  <c r="DI35" i="37" s="1"/>
  <c r="DJ35" i="37" s="1"/>
  <c r="DK35" i="37" s="1"/>
  <c r="DL35" i="37" s="1"/>
  <c r="DG14" i="37"/>
  <c r="DH14" i="37" s="1"/>
  <c r="DI14" i="37" s="1"/>
  <c r="DJ14" i="37" s="1"/>
  <c r="DK14" i="37" s="1"/>
  <c r="DL14" i="37" s="1"/>
  <c r="DG13" i="37"/>
  <c r="DH13" i="37" s="1"/>
  <c r="DI13" i="37" s="1"/>
  <c r="DJ13" i="37" s="1"/>
  <c r="DK13" i="37" s="1"/>
  <c r="DL13" i="37" s="1"/>
  <c r="DG22" i="37"/>
  <c r="DH22" i="37" s="1"/>
  <c r="DI22" i="37" s="1"/>
  <c r="DJ22" i="37" s="1"/>
  <c r="DK22" i="37" s="1"/>
  <c r="DL22" i="37" s="1"/>
  <c r="DG12" i="37"/>
  <c r="DH12" i="37" s="1"/>
  <c r="DI12" i="37" s="1"/>
  <c r="DJ12" i="37" s="1"/>
  <c r="DK12" i="37" s="1"/>
  <c r="DL12" i="37" s="1"/>
  <c r="DF42" i="37" l="1"/>
  <c r="DG9" i="37"/>
  <c r="DH9" i="37" l="1"/>
  <c r="DG42" i="37"/>
  <c r="DH42" i="37" l="1"/>
  <c r="DI9" i="37"/>
  <c r="DJ9" i="37" s="1"/>
  <c r="DJ42" i="37" l="1"/>
  <c r="DK9" i="37"/>
  <c r="DM38" i="37" l="1"/>
  <c r="DN38" i="37" s="1"/>
  <c r="DO38" i="37" s="1"/>
  <c r="DP38" i="37" s="1"/>
  <c r="DQ38" i="37" s="1"/>
  <c r="DR38" i="37" s="1"/>
  <c r="DM37" i="37"/>
  <c r="DN37" i="37" s="1"/>
  <c r="DO37" i="37" s="1"/>
  <c r="DP37" i="37" s="1"/>
  <c r="DQ37" i="37" s="1"/>
  <c r="DR37" i="37" s="1"/>
  <c r="DM39" i="37"/>
  <c r="DN39" i="37" s="1"/>
  <c r="DO39" i="37" s="1"/>
  <c r="DP39" i="37" s="1"/>
  <c r="DQ39" i="37" s="1"/>
  <c r="DR39" i="37" s="1"/>
  <c r="DM19" i="37"/>
  <c r="DN19" i="37" s="1"/>
  <c r="DO19" i="37" s="1"/>
  <c r="DP19" i="37" s="1"/>
  <c r="DQ19" i="37" s="1"/>
  <c r="DR19" i="37" s="1"/>
  <c r="DM25" i="37"/>
  <c r="DN25" i="37" s="1"/>
  <c r="DO25" i="37" s="1"/>
  <c r="DP25" i="37" s="1"/>
  <c r="DQ25" i="37" s="1"/>
  <c r="DR25" i="37" s="1"/>
  <c r="DL9" i="37"/>
  <c r="DK42" i="37"/>
  <c r="DM12" i="37"/>
  <c r="DN12" i="37" s="1"/>
  <c r="DO12" i="37" s="1"/>
  <c r="DP12" i="37" s="1"/>
  <c r="DQ12" i="37" s="1"/>
  <c r="DR12" i="37" s="1"/>
  <c r="DM24" i="37"/>
  <c r="DN24" i="37" s="1"/>
  <c r="DO24" i="37" s="1"/>
  <c r="DP24" i="37" s="1"/>
  <c r="DQ24" i="37" s="1"/>
  <c r="DR24" i="37" s="1"/>
  <c r="DM18" i="37"/>
  <c r="DN18" i="37" s="1"/>
  <c r="DO18" i="37" s="1"/>
  <c r="DP18" i="37" s="1"/>
  <c r="DQ18" i="37" s="1"/>
  <c r="DR18" i="37" s="1"/>
  <c r="DM20" i="37"/>
  <c r="DN20" i="37" s="1"/>
  <c r="DO20" i="37" s="1"/>
  <c r="DP20" i="37" s="1"/>
  <c r="DQ20" i="37" s="1"/>
  <c r="DR20" i="37" s="1"/>
  <c r="DM27" i="37"/>
  <c r="DN27" i="37" s="1"/>
  <c r="DO27" i="37" s="1"/>
  <c r="DP27" i="37" s="1"/>
  <c r="DQ27" i="37" s="1"/>
  <c r="DR27" i="37" s="1"/>
  <c r="DM14" i="37"/>
  <c r="DN14" i="37" s="1"/>
  <c r="DO14" i="37" s="1"/>
  <c r="DP14" i="37" s="1"/>
  <c r="DQ14" i="37" s="1"/>
  <c r="DR14" i="37" s="1"/>
  <c r="DM28" i="37"/>
  <c r="DN28" i="37" s="1"/>
  <c r="DO28" i="37" s="1"/>
  <c r="DP28" i="37" s="1"/>
  <c r="DQ28" i="37" s="1"/>
  <c r="DR28" i="37" s="1"/>
  <c r="DM23" i="37"/>
  <c r="DN23" i="37" s="1"/>
  <c r="DO23" i="37" s="1"/>
  <c r="DP23" i="37" s="1"/>
  <c r="DQ23" i="37" s="1"/>
  <c r="DR23" i="37" s="1"/>
  <c r="DM22" i="37"/>
  <c r="DN22" i="37" s="1"/>
  <c r="DO22" i="37" s="1"/>
  <c r="DP22" i="37" s="1"/>
  <c r="DQ22" i="37" s="1"/>
  <c r="DR22" i="37" s="1"/>
  <c r="DM21" i="37"/>
  <c r="DN21" i="37" s="1"/>
  <c r="DO21" i="37" s="1"/>
  <c r="DP21" i="37" s="1"/>
  <c r="DQ21" i="37" s="1"/>
  <c r="DR21" i="37" s="1"/>
  <c r="DM13" i="37"/>
  <c r="DN13" i="37" s="1"/>
  <c r="DO13" i="37" s="1"/>
  <c r="DP13" i="37" s="1"/>
  <c r="DQ13" i="37" s="1"/>
  <c r="DR13" i="37" s="1"/>
  <c r="DM15" i="37"/>
  <c r="DN15" i="37" s="1"/>
  <c r="DO15" i="37" s="1"/>
  <c r="DP15" i="37" s="1"/>
  <c r="DQ15" i="37" s="1"/>
  <c r="DR15" i="37" s="1"/>
  <c r="DM16" i="37"/>
  <c r="DN16" i="37" s="1"/>
  <c r="DO16" i="37" s="1"/>
  <c r="DP16" i="37" s="1"/>
  <c r="DQ16" i="37" s="1"/>
  <c r="DR16" i="37" s="1"/>
  <c r="DM34" i="37"/>
  <c r="DN34" i="37" s="1"/>
  <c r="DO34" i="37" s="1"/>
  <c r="DP34" i="37" s="1"/>
  <c r="DQ34" i="37" s="1"/>
  <c r="DR34" i="37" s="1"/>
  <c r="DM26" i="37"/>
  <c r="DN26" i="37" s="1"/>
  <c r="DO26" i="37" s="1"/>
  <c r="DP26" i="37" s="1"/>
  <c r="DQ26" i="37" s="1"/>
  <c r="DR26" i="37" s="1"/>
  <c r="DM30" i="37"/>
  <c r="DN30" i="37" s="1"/>
  <c r="DO30" i="37" s="1"/>
  <c r="DP30" i="37" s="1"/>
  <c r="DQ30" i="37" s="1"/>
  <c r="DR30" i="37" s="1"/>
  <c r="DM33" i="37"/>
  <c r="DN33" i="37" s="1"/>
  <c r="DO33" i="37" s="1"/>
  <c r="DP33" i="37" s="1"/>
  <c r="DQ33" i="37" s="1"/>
  <c r="DR33" i="37" s="1"/>
  <c r="DM36" i="37"/>
  <c r="DN36" i="37" s="1"/>
  <c r="DO36" i="37" s="1"/>
  <c r="DP36" i="37" s="1"/>
  <c r="DQ36" i="37" s="1"/>
  <c r="DR36" i="37" s="1"/>
  <c r="DM11" i="37"/>
  <c r="DN11" i="37" s="1"/>
  <c r="DO11" i="37" s="1"/>
  <c r="DP11" i="37" s="1"/>
  <c r="DQ11" i="37" s="1"/>
  <c r="DR11" i="37" s="1"/>
  <c r="DM31" i="37"/>
  <c r="DN31" i="37" s="1"/>
  <c r="DO31" i="37" s="1"/>
  <c r="DP31" i="37" s="1"/>
  <c r="DQ31" i="37" s="1"/>
  <c r="DR31" i="37" s="1"/>
  <c r="DM10" i="37"/>
  <c r="DN10" i="37" s="1"/>
  <c r="DO10" i="37" s="1"/>
  <c r="DP10" i="37" s="1"/>
  <c r="DQ10" i="37" s="1"/>
  <c r="DR10" i="37" s="1"/>
  <c r="DM32" i="37"/>
  <c r="DN32" i="37" s="1"/>
  <c r="DO32" i="37" s="1"/>
  <c r="DP32" i="37" s="1"/>
  <c r="DQ32" i="37" s="1"/>
  <c r="DR32" i="37" s="1"/>
  <c r="DM35" i="37"/>
  <c r="DN35" i="37" s="1"/>
  <c r="DO35" i="37" s="1"/>
  <c r="DP35" i="37" s="1"/>
  <c r="DQ35" i="37" s="1"/>
  <c r="DR35" i="37" s="1"/>
  <c r="DM29" i="37"/>
  <c r="DN29" i="37" s="1"/>
  <c r="DO29" i="37" s="1"/>
  <c r="DP29" i="37" s="1"/>
  <c r="DQ29" i="37" s="1"/>
  <c r="DR29" i="37" s="1"/>
  <c r="DM17" i="37"/>
  <c r="DN17" i="37" s="1"/>
  <c r="DO17" i="37" s="1"/>
  <c r="DP17" i="37" s="1"/>
  <c r="DQ17" i="37" s="1"/>
  <c r="DR17" i="37" s="1"/>
  <c r="DM9" i="37" l="1"/>
  <c r="DL42" i="37"/>
  <c r="DN9" i="37" l="1"/>
  <c r="DM42" i="37"/>
  <c r="DO9" i="37" l="1"/>
  <c r="DP9" i="37" s="1"/>
  <c r="DN42" i="37"/>
  <c r="DP42" i="37" l="1"/>
  <c r="DQ9" i="37"/>
  <c r="DS39" i="37" l="1"/>
  <c r="DT39" i="37" s="1"/>
  <c r="DU39" i="37" s="1"/>
  <c r="DV39" i="37" s="1"/>
  <c r="DW39" i="37" s="1"/>
  <c r="DX39" i="37" s="1"/>
  <c r="DS37" i="37"/>
  <c r="DT37" i="37" s="1"/>
  <c r="DU37" i="37" s="1"/>
  <c r="DV37" i="37" s="1"/>
  <c r="DW37" i="37" s="1"/>
  <c r="DX37" i="37" s="1"/>
  <c r="DS38" i="37"/>
  <c r="DT38" i="37" s="1"/>
  <c r="DU38" i="37" s="1"/>
  <c r="DV38" i="37" s="1"/>
  <c r="DW38" i="37" s="1"/>
  <c r="DX38" i="37" s="1"/>
  <c r="DS25" i="37"/>
  <c r="DT25" i="37" s="1"/>
  <c r="DU25" i="37" s="1"/>
  <c r="DV25" i="37" s="1"/>
  <c r="DW25" i="37" s="1"/>
  <c r="DX25" i="37" s="1"/>
  <c r="DS19" i="37"/>
  <c r="DT19" i="37" s="1"/>
  <c r="DU19" i="37" s="1"/>
  <c r="DV19" i="37" s="1"/>
  <c r="DW19" i="37" s="1"/>
  <c r="DX19" i="37" s="1"/>
  <c r="DQ42" i="37"/>
  <c r="DR9" i="37"/>
  <c r="DS17" i="37"/>
  <c r="DT17" i="37" s="1"/>
  <c r="DU17" i="37" s="1"/>
  <c r="DV17" i="37" s="1"/>
  <c r="DW17" i="37" s="1"/>
  <c r="DX17" i="37" s="1"/>
  <c r="DS21" i="37"/>
  <c r="DT21" i="37" s="1"/>
  <c r="DU21" i="37" s="1"/>
  <c r="DV21" i="37" s="1"/>
  <c r="DW21" i="37" s="1"/>
  <c r="DX21" i="37" s="1"/>
  <c r="DS33" i="37"/>
  <c r="DT33" i="37" s="1"/>
  <c r="DU33" i="37" s="1"/>
  <c r="DV33" i="37" s="1"/>
  <c r="DW33" i="37" s="1"/>
  <c r="DX33" i="37" s="1"/>
  <c r="DS12" i="37"/>
  <c r="DT12" i="37" s="1"/>
  <c r="DU12" i="37" s="1"/>
  <c r="DV12" i="37" s="1"/>
  <c r="DW12" i="37" s="1"/>
  <c r="DX12" i="37" s="1"/>
  <c r="DS15" i="37"/>
  <c r="DT15" i="37" s="1"/>
  <c r="DU15" i="37" s="1"/>
  <c r="DV15" i="37" s="1"/>
  <c r="DW15" i="37" s="1"/>
  <c r="DX15" i="37" s="1"/>
  <c r="DS11" i="37"/>
  <c r="DT11" i="37" s="1"/>
  <c r="DU11" i="37" s="1"/>
  <c r="DV11" i="37" s="1"/>
  <c r="DW11" i="37" s="1"/>
  <c r="DX11" i="37" s="1"/>
  <c r="DS18" i="37"/>
  <c r="DT18" i="37" s="1"/>
  <c r="DU18" i="37" s="1"/>
  <c r="DV18" i="37" s="1"/>
  <c r="DW18" i="37" s="1"/>
  <c r="DX18" i="37" s="1"/>
  <c r="DS13" i="37"/>
  <c r="DT13" i="37" s="1"/>
  <c r="DU13" i="37" s="1"/>
  <c r="DV13" i="37" s="1"/>
  <c r="DW13" i="37" s="1"/>
  <c r="DX13" i="37" s="1"/>
  <c r="DS28" i="37"/>
  <c r="DT28" i="37" s="1"/>
  <c r="DU28" i="37" s="1"/>
  <c r="DV28" i="37" s="1"/>
  <c r="DW28" i="37" s="1"/>
  <c r="DX28" i="37" s="1"/>
  <c r="DS32" i="37"/>
  <c r="DT32" i="37" s="1"/>
  <c r="DU32" i="37" s="1"/>
  <c r="DV32" i="37" s="1"/>
  <c r="DW32" i="37" s="1"/>
  <c r="DX32" i="37" s="1"/>
  <c r="DS14" i="37"/>
  <c r="DT14" i="37" s="1"/>
  <c r="DU14" i="37" s="1"/>
  <c r="DV14" i="37" s="1"/>
  <c r="DW14" i="37" s="1"/>
  <c r="DX14" i="37" s="1"/>
  <c r="DS16" i="37"/>
  <c r="DT16" i="37" s="1"/>
  <c r="DU16" i="37" s="1"/>
  <c r="DV16" i="37" s="1"/>
  <c r="DW16" i="37" s="1"/>
  <c r="DX16" i="37" s="1"/>
  <c r="DS29" i="37"/>
  <c r="DT29" i="37" s="1"/>
  <c r="DU29" i="37" s="1"/>
  <c r="DV29" i="37" s="1"/>
  <c r="DW29" i="37" s="1"/>
  <c r="DX29" i="37" s="1"/>
  <c r="DS23" i="37"/>
  <c r="DT23" i="37" s="1"/>
  <c r="DU23" i="37" s="1"/>
  <c r="DV23" i="37" s="1"/>
  <c r="DW23" i="37" s="1"/>
  <c r="DX23" i="37" s="1"/>
  <c r="DS26" i="37"/>
  <c r="DT26" i="37" s="1"/>
  <c r="DU26" i="37" s="1"/>
  <c r="DV26" i="37" s="1"/>
  <c r="DW26" i="37" s="1"/>
  <c r="DX26" i="37" s="1"/>
  <c r="DS36" i="37"/>
  <c r="DT36" i="37" s="1"/>
  <c r="DU36" i="37" s="1"/>
  <c r="DV36" i="37" s="1"/>
  <c r="DW36" i="37" s="1"/>
  <c r="DX36" i="37" s="1"/>
  <c r="DS24" i="37"/>
  <c r="DT24" i="37" s="1"/>
  <c r="DU24" i="37" s="1"/>
  <c r="DV24" i="37" s="1"/>
  <c r="DW24" i="37" s="1"/>
  <c r="DX24" i="37" s="1"/>
  <c r="DS22" i="37"/>
  <c r="DT22" i="37" s="1"/>
  <c r="DU22" i="37" s="1"/>
  <c r="DV22" i="37" s="1"/>
  <c r="DW22" i="37" s="1"/>
  <c r="DX22" i="37" s="1"/>
  <c r="DS31" i="37"/>
  <c r="DT31" i="37" s="1"/>
  <c r="DU31" i="37" s="1"/>
  <c r="DV31" i="37" s="1"/>
  <c r="DW31" i="37" s="1"/>
  <c r="DX31" i="37" s="1"/>
  <c r="DS20" i="37"/>
  <c r="DT20" i="37" s="1"/>
  <c r="DU20" i="37" s="1"/>
  <c r="DV20" i="37" s="1"/>
  <c r="DW20" i="37" s="1"/>
  <c r="DX20" i="37" s="1"/>
  <c r="DS34" i="37"/>
  <c r="DT34" i="37" s="1"/>
  <c r="DU34" i="37" s="1"/>
  <c r="DV34" i="37" s="1"/>
  <c r="DW34" i="37" s="1"/>
  <c r="DX34" i="37" s="1"/>
  <c r="DS10" i="37"/>
  <c r="DT10" i="37" s="1"/>
  <c r="DU10" i="37" s="1"/>
  <c r="DV10" i="37" s="1"/>
  <c r="DW10" i="37" s="1"/>
  <c r="DX10" i="37" s="1"/>
  <c r="DS27" i="37"/>
  <c r="DT27" i="37" s="1"/>
  <c r="DU27" i="37" s="1"/>
  <c r="DV27" i="37" s="1"/>
  <c r="DW27" i="37" s="1"/>
  <c r="DX27" i="37" s="1"/>
  <c r="DS30" i="37"/>
  <c r="DT30" i="37" s="1"/>
  <c r="DU30" i="37" s="1"/>
  <c r="DV30" i="37" s="1"/>
  <c r="DW30" i="37" s="1"/>
  <c r="DX30" i="37" s="1"/>
  <c r="DS35" i="37"/>
  <c r="DT35" i="37" s="1"/>
  <c r="DU35" i="37" s="1"/>
  <c r="DV35" i="37" s="1"/>
  <c r="DW35" i="37" s="1"/>
  <c r="DX35" i="37" s="1"/>
  <c r="DR42" i="37" l="1"/>
  <c r="DS9" i="37"/>
  <c r="DT9" i="37" l="1"/>
  <c r="DS42" i="37"/>
  <c r="DT42" i="37" l="1"/>
  <c r="DU9" i="37"/>
  <c r="DV9" i="37" s="1"/>
  <c r="DW9" i="37" l="1"/>
  <c r="DV42" i="37"/>
  <c r="DY38" i="37" l="1"/>
  <c r="DZ38" i="37" s="1"/>
  <c r="EA38" i="37" s="1"/>
  <c r="EB38" i="37" s="1"/>
  <c r="EC38" i="37" s="1"/>
  <c r="ED38" i="37" s="1"/>
  <c r="DY37" i="37"/>
  <c r="DZ37" i="37" s="1"/>
  <c r="EA37" i="37" s="1"/>
  <c r="EB37" i="37" s="1"/>
  <c r="EC37" i="37" s="1"/>
  <c r="ED37" i="37" s="1"/>
  <c r="DY39" i="37"/>
  <c r="DZ39" i="37" s="1"/>
  <c r="EA39" i="37" s="1"/>
  <c r="EB39" i="37" s="1"/>
  <c r="EC39" i="37" s="1"/>
  <c r="ED39" i="37" s="1"/>
  <c r="DY19" i="37"/>
  <c r="DZ19" i="37" s="1"/>
  <c r="EA19" i="37" s="1"/>
  <c r="EB19" i="37" s="1"/>
  <c r="EC19" i="37" s="1"/>
  <c r="ED19" i="37" s="1"/>
  <c r="DY25" i="37"/>
  <c r="DZ25" i="37" s="1"/>
  <c r="EA25" i="37" s="1"/>
  <c r="EB25" i="37" s="1"/>
  <c r="EC25" i="37" s="1"/>
  <c r="ED25" i="37" s="1"/>
  <c r="DY10" i="37"/>
  <c r="DZ10" i="37" s="1"/>
  <c r="EA10" i="37" s="1"/>
  <c r="EB10" i="37" s="1"/>
  <c r="EC10" i="37" s="1"/>
  <c r="ED10" i="37" s="1"/>
  <c r="DY11" i="37"/>
  <c r="DZ11" i="37" s="1"/>
  <c r="EA11" i="37" s="1"/>
  <c r="EB11" i="37" s="1"/>
  <c r="EC11" i="37" s="1"/>
  <c r="ED11" i="37" s="1"/>
  <c r="DY29" i="37"/>
  <c r="DZ29" i="37" s="1"/>
  <c r="EA29" i="37" s="1"/>
  <c r="EB29" i="37" s="1"/>
  <c r="EC29" i="37" s="1"/>
  <c r="ED29" i="37" s="1"/>
  <c r="DY30" i="37"/>
  <c r="DZ30" i="37" s="1"/>
  <c r="EA30" i="37" s="1"/>
  <c r="EB30" i="37" s="1"/>
  <c r="EC30" i="37" s="1"/>
  <c r="ED30" i="37" s="1"/>
  <c r="DY13" i="37"/>
  <c r="DZ13" i="37" s="1"/>
  <c r="EA13" i="37" s="1"/>
  <c r="EB13" i="37" s="1"/>
  <c r="EC13" i="37" s="1"/>
  <c r="ED13" i="37" s="1"/>
  <c r="DY35" i="37"/>
  <c r="DZ35" i="37" s="1"/>
  <c r="EA35" i="37" s="1"/>
  <c r="EB35" i="37" s="1"/>
  <c r="EC35" i="37" s="1"/>
  <c r="ED35" i="37" s="1"/>
  <c r="DY14" i="37"/>
  <c r="DZ14" i="37" s="1"/>
  <c r="EA14" i="37" s="1"/>
  <c r="EB14" i="37" s="1"/>
  <c r="EC14" i="37" s="1"/>
  <c r="ED14" i="37" s="1"/>
  <c r="DY33" i="37"/>
  <c r="DZ33" i="37" s="1"/>
  <c r="EA33" i="37" s="1"/>
  <c r="EB33" i="37" s="1"/>
  <c r="EC33" i="37" s="1"/>
  <c r="ED33" i="37" s="1"/>
  <c r="DY26" i="37"/>
  <c r="DZ26" i="37" s="1"/>
  <c r="EA26" i="37" s="1"/>
  <c r="EB26" i="37" s="1"/>
  <c r="EC26" i="37" s="1"/>
  <c r="ED26" i="37" s="1"/>
  <c r="DY22" i="37"/>
  <c r="DZ22" i="37" s="1"/>
  <c r="EA22" i="37" s="1"/>
  <c r="EB22" i="37" s="1"/>
  <c r="EC22" i="37" s="1"/>
  <c r="ED22" i="37" s="1"/>
  <c r="DY21" i="37"/>
  <c r="DZ21" i="37" s="1"/>
  <c r="EA21" i="37" s="1"/>
  <c r="EB21" i="37" s="1"/>
  <c r="EC21" i="37" s="1"/>
  <c r="ED21" i="37" s="1"/>
  <c r="DY28" i="37"/>
  <c r="DZ28" i="37" s="1"/>
  <c r="EA28" i="37" s="1"/>
  <c r="EB28" i="37" s="1"/>
  <c r="EC28" i="37" s="1"/>
  <c r="ED28" i="37" s="1"/>
  <c r="DY20" i="37"/>
  <c r="DZ20" i="37" s="1"/>
  <c r="EA20" i="37" s="1"/>
  <c r="EB20" i="37" s="1"/>
  <c r="EC20" i="37" s="1"/>
  <c r="ED20" i="37" s="1"/>
  <c r="DY12" i="37"/>
  <c r="DZ12" i="37" s="1"/>
  <c r="EA12" i="37" s="1"/>
  <c r="EB12" i="37" s="1"/>
  <c r="EC12" i="37" s="1"/>
  <c r="ED12" i="37" s="1"/>
  <c r="DY27" i="37"/>
  <c r="DZ27" i="37" s="1"/>
  <c r="EA27" i="37" s="1"/>
  <c r="EB27" i="37" s="1"/>
  <c r="EC27" i="37" s="1"/>
  <c r="ED27" i="37" s="1"/>
  <c r="DY18" i="37"/>
  <c r="DZ18" i="37" s="1"/>
  <c r="EA18" i="37" s="1"/>
  <c r="EB18" i="37" s="1"/>
  <c r="EC18" i="37" s="1"/>
  <c r="ED18" i="37" s="1"/>
  <c r="DY31" i="37"/>
  <c r="DZ31" i="37" s="1"/>
  <c r="EA31" i="37" s="1"/>
  <c r="EB31" i="37" s="1"/>
  <c r="EC31" i="37" s="1"/>
  <c r="ED31" i="37" s="1"/>
  <c r="DY23" i="37"/>
  <c r="DZ23" i="37" s="1"/>
  <c r="EA23" i="37" s="1"/>
  <c r="EB23" i="37" s="1"/>
  <c r="EC23" i="37" s="1"/>
  <c r="ED23" i="37" s="1"/>
  <c r="DY34" i="37"/>
  <c r="DZ34" i="37" s="1"/>
  <c r="EA34" i="37" s="1"/>
  <c r="EB34" i="37" s="1"/>
  <c r="EC34" i="37" s="1"/>
  <c r="ED34" i="37" s="1"/>
  <c r="DY15" i="37"/>
  <c r="DZ15" i="37" s="1"/>
  <c r="EA15" i="37" s="1"/>
  <c r="EB15" i="37" s="1"/>
  <c r="EC15" i="37" s="1"/>
  <c r="ED15" i="37" s="1"/>
  <c r="DY36" i="37"/>
  <c r="DZ36" i="37" s="1"/>
  <c r="EA36" i="37" s="1"/>
  <c r="EB36" i="37" s="1"/>
  <c r="EC36" i="37" s="1"/>
  <c r="ED36" i="37" s="1"/>
  <c r="DY32" i="37"/>
  <c r="DZ32" i="37" s="1"/>
  <c r="EA32" i="37" s="1"/>
  <c r="EB32" i="37" s="1"/>
  <c r="EC32" i="37" s="1"/>
  <c r="ED32" i="37" s="1"/>
  <c r="DY24" i="37"/>
  <c r="DZ24" i="37" s="1"/>
  <c r="EA24" i="37" s="1"/>
  <c r="EB24" i="37" s="1"/>
  <c r="EC24" i="37" s="1"/>
  <c r="ED24" i="37" s="1"/>
  <c r="DY17" i="37"/>
  <c r="DZ17" i="37" s="1"/>
  <c r="EA17" i="37" s="1"/>
  <c r="EB17" i="37" s="1"/>
  <c r="EC17" i="37" s="1"/>
  <c r="ED17" i="37" s="1"/>
  <c r="DY16" i="37"/>
  <c r="DZ16" i="37" s="1"/>
  <c r="EA16" i="37" s="1"/>
  <c r="EB16" i="37" s="1"/>
  <c r="EC16" i="37" s="1"/>
  <c r="ED16" i="37" s="1"/>
  <c r="DX9" i="37"/>
  <c r="DW42" i="37"/>
  <c r="DY9" i="37" l="1"/>
  <c r="DX42" i="37"/>
  <c r="DY42" i="37" l="1"/>
  <c r="DZ9" i="37"/>
  <c r="EA9" i="37" l="1"/>
  <c r="EB9" i="37" s="1"/>
  <c r="DZ42" i="37"/>
  <c r="EC9" i="37" l="1"/>
  <c r="EB42" i="37"/>
  <c r="EE39" i="37" l="1"/>
  <c r="EF39" i="37" s="1"/>
  <c r="EG39" i="37" s="1"/>
  <c r="EH39" i="37" s="1"/>
  <c r="EI39" i="37" s="1"/>
  <c r="EJ39" i="37" s="1"/>
  <c r="EE37" i="37"/>
  <c r="EF37" i="37" s="1"/>
  <c r="EG37" i="37" s="1"/>
  <c r="EH37" i="37" s="1"/>
  <c r="EI37" i="37" s="1"/>
  <c r="EJ37" i="37" s="1"/>
  <c r="EE38" i="37"/>
  <c r="EF38" i="37" s="1"/>
  <c r="EG38" i="37" s="1"/>
  <c r="EH38" i="37" s="1"/>
  <c r="EI38" i="37" s="1"/>
  <c r="EJ38" i="37" s="1"/>
  <c r="EE25" i="37"/>
  <c r="EF25" i="37" s="1"/>
  <c r="EG25" i="37" s="1"/>
  <c r="EH25" i="37" s="1"/>
  <c r="EI25" i="37" s="1"/>
  <c r="EJ25" i="37" s="1"/>
  <c r="EE19" i="37"/>
  <c r="EF19" i="37" s="1"/>
  <c r="EG19" i="37" s="1"/>
  <c r="EH19" i="37" s="1"/>
  <c r="EI19" i="37" s="1"/>
  <c r="EJ19" i="37" s="1"/>
  <c r="EE17" i="37"/>
  <c r="EF17" i="37" s="1"/>
  <c r="EG17" i="37" s="1"/>
  <c r="EH17" i="37" s="1"/>
  <c r="EI17" i="37" s="1"/>
  <c r="EJ17" i="37" s="1"/>
  <c r="EE33" i="37"/>
  <c r="EF33" i="37" s="1"/>
  <c r="EG33" i="37" s="1"/>
  <c r="EH33" i="37" s="1"/>
  <c r="EI33" i="37" s="1"/>
  <c r="EJ33" i="37" s="1"/>
  <c r="EE34" i="37"/>
  <c r="EF34" i="37" s="1"/>
  <c r="EG34" i="37" s="1"/>
  <c r="EH34" i="37" s="1"/>
  <c r="EI34" i="37" s="1"/>
  <c r="EJ34" i="37" s="1"/>
  <c r="EE29" i="37"/>
  <c r="EF29" i="37" s="1"/>
  <c r="EG29" i="37" s="1"/>
  <c r="EH29" i="37" s="1"/>
  <c r="EI29" i="37" s="1"/>
  <c r="EJ29" i="37" s="1"/>
  <c r="EE23" i="37"/>
  <c r="EF23" i="37" s="1"/>
  <c r="EG23" i="37" s="1"/>
  <c r="EH23" i="37" s="1"/>
  <c r="EI23" i="37" s="1"/>
  <c r="EJ23" i="37" s="1"/>
  <c r="EE11" i="37"/>
  <c r="EF11" i="37" s="1"/>
  <c r="EG11" i="37" s="1"/>
  <c r="EH11" i="37" s="1"/>
  <c r="EI11" i="37" s="1"/>
  <c r="EJ11" i="37" s="1"/>
  <c r="EE26" i="37"/>
  <c r="EF26" i="37" s="1"/>
  <c r="EG26" i="37" s="1"/>
  <c r="EH26" i="37" s="1"/>
  <c r="EI26" i="37" s="1"/>
  <c r="EJ26" i="37" s="1"/>
  <c r="EE12" i="37"/>
  <c r="EF12" i="37" s="1"/>
  <c r="EG12" i="37" s="1"/>
  <c r="EH12" i="37" s="1"/>
  <c r="EI12" i="37" s="1"/>
  <c r="EJ12" i="37" s="1"/>
  <c r="EE36" i="37"/>
  <c r="EF36" i="37" s="1"/>
  <c r="EG36" i="37" s="1"/>
  <c r="EH36" i="37" s="1"/>
  <c r="EI36" i="37" s="1"/>
  <c r="EJ36" i="37" s="1"/>
  <c r="EE13" i="37"/>
  <c r="EF13" i="37" s="1"/>
  <c r="EG13" i="37" s="1"/>
  <c r="EH13" i="37" s="1"/>
  <c r="EI13" i="37" s="1"/>
  <c r="EJ13" i="37" s="1"/>
  <c r="EE31" i="37"/>
  <c r="EF31" i="37" s="1"/>
  <c r="EG31" i="37" s="1"/>
  <c r="EH31" i="37" s="1"/>
  <c r="EI31" i="37" s="1"/>
  <c r="EJ31" i="37" s="1"/>
  <c r="EE15" i="37"/>
  <c r="EF15" i="37" s="1"/>
  <c r="EG15" i="37" s="1"/>
  <c r="EH15" i="37" s="1"/>
  <c r="EI15" i="37" s="1"/>
  <c r="EJ15" i="37" s="1"/>
  <c r="EE30" i="37"/>
  <c r="EF30" i="37" s="1"/>
  <c r="EG30" i="37" s="1"/>
  <c r="EH30" i="37" s="1"/>
  <c r="EI30" i="37" s="1"/>
  <c r="EJ30" i="37" s="1"/>
  <c r="EE27" i="37"/>
  <c r="EF27" i="37" s="1"/>
  <c r="EG27" i="37" s="1"/>
  <c r="EH27" i="37" s="1"/>
  <c r="EI27" i="37" s="1"/>
  <c r="EJ27" i="37" s="1"/>
  <c r="EE18" i="37"/>
  <c r="EF18" i="37" s="1"/>
  <c r="EG18" i="37" s="1"/>
  <c r="EH18" i="37" s="1"/>
  <c r="EI18" i="37" s="1"/>
  <c r="EJ18" i="37" s="1"/>
  <c r="EE16" i="37"/>
  <c r="EF16" i="37" s="1"/>
  <c r="EG16" i="37" s="1"/>
  <c r="EH16" i="37" s="1"/>
  <c r="EI16" i="37" s="1"/>
  <c r="EJ16" i="37" s="1"/>
  <c r="EE21" i="37"/>
  <c r="EF21" i="37" s="1"/>
  <c r="EG21" i="37" s="1"/>
  <c r="EH21" i="37" s="1"/>
  <c r="EI21" i="37" s="1"/>
  <c r="EJ21" i="37" s="1"/>
  <c r="EE28" i="37"/>
  <c r="EF28" i="37" s="1"/>
  <c r="EG28" i="37" s="1"/>
  <c r="EH28" i="37" s="1"/>
  <c r="EI28" i="37" s="1"/>
  <c r="EJ28" i="37" s="1"/>
  <c r="EE24" i="37"/>
  <c r="EF24" i="37" s="1"/>
  <c r="EG24" i="37" s="1"/>
  <c r="EH24" i="37" s="1"/>
  <c r="EI24" i="37" s="1"/>
  <c r="EJ24" i="37" s="1"/>
  <c r="EE14" i="37"/>
  <c r="EF14" i="37" s="1"/>
  <c r="EG14" i="37" s="1"/>
  <c r="EH14" i="37" s="1"/>
  <c r="EI14" i="37" s="1"/>
  <c r="EJ14" i="37" s="1"/>
  <c r="EE32" i="37"/>
  <c r="EF32" i="37" s="1"/>
  <c r="EG32" i="37" s="1"/>
  <c r="EH32" i="37" s="1"/>
  <c r="EI32" i="37" s="1"/>
  <c r="EJ32" i="37" s="1"/>
  <c r="EE35" i="37"/>
  <c r="EF35" i="37" s="1"/>
  <c r="EG35" i="37" s="1"/>
  <c r="EH35" i="37" s="1"/>
  <c r="EI35" i="37" s="1"/>
  <c r="EJ35" i="37" s="1"/>
  <c r="EE20" i="37"/>
  <c r="EF20" i="37" s="1"/>
  <c r="EG20" i="37" s="1"/>
  <c r="EH20" i="37" s="1"/>
  <c r="EI20" i="37" s="1"/>
  <c r="EJ20" i="37" s="1"/>
  <c r="EE22" i="37"/>
  <c r="EF22" i="37" s="1"/>
  <c r="EG22" i="37" s="1"/>
  <c r="EH22" i="37" s="1"/>
  <c r="EI22" i="37" s="1"/>
  <c r="EJ22" i="37" s="1"/>
  <c r="EE10" i="37"/>
  <c r="EF10" i="37" s="1"/>
  <c r="EG10" i="37" s="1"/>
  <c r="EH10" i="37" s="1"/>
  <c r="EI10" i="37" s="1"/>
  <c r="EJ10" i="37" s="1"/>
  <c r="ED9" i="37"/>
  <c r="EC42" i="37"/>
  <c r="ED42" i="37" l="1"/>
  <c r="EE9" i="37"/>
  <c r="EF9" i="37" l="1"/>
  <c r="EE42" i="37"/>
  <c r="EF42" i="37" l="1"/>
  <c r="EG9" i="37"/>
  <c r="EH9" i="37" s="1"/>
  <c r="EH42" i="37" l="1"/>
  <c r="EI9" i="37"/>
  <c r="EK38" i="37" l="1"/>
  <c r="EL38" i="37" s="1"/>
  <c r="EM38" i="37" s="1"/>
  <c r="EN38" i="37" s="1"/>
  <c r="EO38" i="37" s="1"/>
  <c r="EP38" i="37" s="1"/>
  <c r="EK37" i="37"/>
  <c r="EL37" i="37" s="1"/>
  <c r="EM37" i="37" s="1"/>
  <c r="EN37" i="37" s="1"/>
  <c r="EO37" i="37" s="1"/>
  <c r="EP37" i="37" s="1"/>
  <c r="EK39" i="37"/>
  <c r="EL39" i="37" s="1"/>
  <c r="EM39" i="37" s="1"/>
  <c r="EN39" i="37" s="1"/>
  <c r="EO39" i="37" s="1"/>
  <c r="EP39" i="37" s="1"/>
  <c r="EK19" i="37"/>
  <c r="EL19" i="37" s="1"/>
  <c r="EM19" i="37" s="1"/>
  <c r="EN19" i="37" s="1"/>
  <c r="EO19" i="37" s="1"/>
  <c r="EP19" i="37" s="1"/>
  <c r="EK25" i="37"/>
  <c r="EL25" i="37" s="1"/>
  <c r="EM25" i="37" s="1"/>
  <c r="EN25" i="37" s="1"/>
  <c r="EO25" i="37" s="1"/>
  <c r="EP25" i="37" s="1"/>
  <c r="EJ9" i="37"/>
  <c r="EI42" i="37"/>
  <c r="EK10" i="37"/>
  <c r="EL10" i="37" s="1"/>
  <c r="EM10" i="37" s="1"/>
  <c r="EN10" i="37" s="1"/>
  <c r="EO10" i="37" s="1"/>
  <c r="EP10" i="37" s="1"/>
  <c r="EK15" i="37"/>
  <c r="EL15" i="37" s="1"/>
  <c r="EM15" i="37" s="1"/>
  <c r="EN15" i="37" s="1"/>
  <c r="EO15" i="37" s="1"/>
  <c r="EP15" i="37" s="1"/>
  <c r="EK24" i="37"/>
  <c r="EL24" i="37" s="1"/>
  <c r="EM24" i="37" s="1"/>
  <c r="EN24" i="37" s="1"/>
  <c r="EO24" i="37" s="1"/>
  <c r="EP24" i="37" s="1"/>
  <c r="EK34" i="37"/>
  <c r="EL34" i="37" s="1"/>
  <c r="EM34" i="37" s="1"/>
  <c r="EN34" i="37" s="1"/>
  <c r="EO34" i="37" s="1"/>
  <c r="EP34" i="37" s="1"/>
  <c r="EK28" i="37"/>
  <c r="EL28" i="37" s="1"/>
  <c r="EM28" i="37" s="1"/>
  <c r="EN28" i="37" s="1"/>
  <c r="EO28" i="37" s="1"/>
  <c r="EP28" i="37" s="1"/>
  <c r="EK33" i="37"/>
  <c r="EL33" i="37" s="1"/>
  <c r="EM33" i="37" s="1"/>
  <c r="EN33" i="37" s="1"/>
  <c r="EO33" i="37" s="1"/>
  <c r="EP33" i="37" s="1"/>
  <c r="EK36" i="37"/>
  <c r="EL36" i="37" s="1"/>
  <c r="EM36" i="37" s="1"/>
  <c r="EN36" i="37" s="1"/>
  <c r="EO36" i="37" s="1"/>
  <c r="EP36" i="37" s="1"/>
  <c r="EK27" i="37"/>
  <c r="EL27" i="37" s="1"/>
  <c r="EM27" i="37" s="1"/>
  <c r="EN27" i="37" s="1"/>
  <c r="EO27" i="37" s="1"/>
  <c r="EP27" i="37" s="1"/>
  <c r="EK32" i="37"/>
  <c r="EL32" i="37" s="1"/>
  <c r="EM32" i="37" s="1"/>
  <c r="EN32" i="37" s="1"/>
  <c r="EO32" i="37" s="1"/>
  <c r="EP32" i="37" s="1"/>
  <c r="EK23" i="37"/>
  <c r="EL23" i="37" s="1"/>
  <c r="EM23" i="37" s="1"/>
  <c r="EN23" i="37" s="1"/>
  <c r="EO23" i="37" s="1"/>
  <c r="EP23" i="37" s="1"/>
  <c r="EK21" i="37"/>
  <c r="EL21" i="37" s="1"/>
  <c r="EM21" i="37" s="1"/>
  <c r="EN21" i="37" s="1"/>
  <c r="EO21" i="37" s="1"/>
  <c r="EP21" i="37" s="1"/>
  <c r="EK22" i="37"/>
  <c r="EL22" i="37" s="1"/>
  <c r="EM22" i="37" s="1"/>
  <c r="EN22" i="37" s="1"/>
  <c r="EO22" i="37" s="1"/>
  <c r="EP22" i="37" s="1"/>
  <c r="EK12" i="37"/>
  <c r="EL12" i="37" s="1"/>
  <c r="EM12" i="37" s="1"/>
  <c r="EN12" i="37" s="1"/>
  <c r="EO12" i="37" s="1"/>
  <c r="EP12" i="37" s="1"/>
  <c r="EK18" i="37"/>
  <c r="EL18" i="37" s="1"/>
  <c r="EM18" i="37" s="1"/>
  <c r="EN18" i="37" s="1"/>
  <c r="EO18" i="37" s="1"/>
  <c r="EP18" i="37" s="1"/>
  <c r="EK17" i="37"/>
  <c r="EL17" i="37" s="1"/>
  <c r="EM17" i="37" s="1"/>
  <c r="EN17" i="37" s="1"/>
  <c r="EO17" i="37" s="1"/>
  <c r="EP17" i="37" s="1"/>
  <c r="EK14" i="37"/>
  <c r="EL14" i="37" s="1"/>
  <c r="EM14" i="37" s="1"/>
  <c r="EN14" i="37" s="1"/>
  <c r="EO14" i="37" s="1"/>
  <c r="EP14" i="37" s="1"/>
  <c r="EK29" i="37"/>
  <c r="EL29" i="37" s="1"/>
  <c r="EM29" i="37" s="1"/>
  <c r="EN29" i="37" s="1"/>
  <c r="EO29" i="37" s="1"/>
  <c r="EP29" i="37" s="1"/>
  <c r="EK31" i="37"/>
  <c r="EL31" i="37" s="1"/>
  <c r="EM31" i="37" s="1"/>
  <c r="EN31" i="37" s="1"/>
  <c r="EO31" i="37" s="1"/>
  <c r="EP31" i="37" s="1"/>
  <c r="EK16" i="37"/>
  <c r="EL16" i="37" s="1"/>
  <c r="EM16" i="37" s="1"/>
  <c r="EN16" i="37" s="1"/>
  <c r="EO16" i="37" s="1"/>
  <c r="EP16" i="37" s="1"/>
  <c r="EK20" i="37"/>
  <c r="EL20" i="37" s="1"/>
  <c r="EM20" i="37" s="1"/>
  <c r="EN20" i="37" s="1"/>
  <c r="EO20" i="37" s="1"/>
  <c r="EP20" i="37" s="1"/>
  <c r="EK26" i="37"/>
  <c r="EL26" i="37" s="1"/>
  <c r="EM26" i="37" s="1"/>
  <c r="EN26" i="37" s="1"/>
  <c r="EO26" i="37" s="1"/>
  <c r="EP26" i="37" s="1"/>
  <c r="EK35" i="37"/>
  <c r="EL35" i="37" s="1"/>
  <c r="EM35" i="37" s="1"/>
  <c r="EN35" i="37" s="1"/>
  <c r="EO35" i="37" s="1"/>
  <c r="EP35" i="37" s="1"/>
  <c r="EK11" i="37"/>
  <c r="EL11" i="37" s="1"/>
  <c r="EM11" i="37" s="1"/>
  <c r="EN11" i="37" s="1"/>
  <c r="EO11" i="37" s="1"/>
  <c r="EP11" i="37" s="1"/>
  <c r="EK30" i="37"/>
  <c r="EL30" i="37" s="1"/>
  <c r="EM30" i="37" s="1"/>
  <c r="EN30" i="37" s="1"/>
  <c r="EO30" i="37" s="1"/>
  <c r="EP30" i="37" s="1"/>
  <c r="EK13" i="37"/>
  <c r="EL13" i="37" s="1"/>
  <c r="EM13" i="37" s="1"/>
  <c r="EN13" i="37" s="1"/>
  <c r="EO13" i="37" s="1"/>
  <c r="EP13" i="37" s="1"/>
  <c r="EK9" i="37" l="1"/>
  <c r="EJ42" i="37"/>
  <c r="EL9" i="37" l="1"/>
  <c r="EK42" i="37"/>
  <c r="EL42" i="37" l="1"/>
  <c r="EM9" i="37"/>
  <c r="EN9" i="37" s="1"/>
  <c r="EN42" i="37" l="1"/>
  <c r="EO9" i="37"/>
  <c r="EQ39" i="37" l="1"/>
  <c r="ER39" i="37" s="1"/>
  <c r="ES39" i="37" s="1"/>
  <c r="ET39" i="37" s="1"/>
  <c r="EU39" i="37" s="1"/>
  <c r="EV39" i="37" s="1"/>
  <c r="EQ37" i="37"/>
  <c r="ER37" i="37" s="1"/>
  <c r="ES37" i="37" s="1"/>
  <c r="ET37" i="37" s="1"/>
  <c r="EU37" i="37" s="1"/>
  <c r="EV37" i="37" s="1"/>
  <c r="EQ38" i="37"/>
  <c r="ER38" i="37" s="1"/>
  <c r="ES38" i="37" s="1"/>
  <c r="ET38" i="37" s="1"/>
  <c r="EU38" i="37" s="1"/>
  <c r="EV38" i="37" s="1"/>
  <c r="EQ25" i="37"/>
  <c r="ER25" i="37" s="1"/>
  <c r="ES25" i="37" s="1"/>
  <c r="ET25" i="37" s="1"/>
  <c r="EU25" i="37" s="1"/>
  <c r="EV25" i="37" s="1"/>
  <c r="EQ19" i="37"/>
  <c r="ER19" i="37" s="1"/>
  <c r="ES19" i="37" s="1"/>
  <c r="ET19" i="37" s="1"/>
  <c r="EU19" i="37" s="1"/>
  <c r="EV19" i="37" s="1"/>
  <c r="EO42" i="37"/>
  <c r="EP9" i="37"/>
  <c r="EQ35" i="37"/>
  <c r="ER35" i="37" s="1"/>
  <c r="ES35" i="37" s="1"/>
  <c r="ET35" i="37" s="1"/>
  <c r="EU35" i="37" s="1"/>
  <c r="EV35" i="37" s="1"/>
  <c r="EQ33" i="37"/>
  <c r="ER33" i="37" s="1"/>
  <c r="ES33" i="37" s="1"/>
  <c r="ET33" i="37" s="1"/>
  <c r="EU33" i="37" s="1"/>
  <c r="EV33" i="37" s="1"/>
  <c r="EQ12" i="37"/>
  <c r="ER12" i="37" s="1"/>
  <c r="ES12" i="37" s="1"/>
  <c r="ET12" i="37" s="1"/>
  <c r="EU12" i="37" s="1"/>
  <c r="EV12" i="37" s="1"/>
  <c r="EQ13" i="37"/>
  <c r="ER13" i="37" s="1"/>
  <c r="ES13" i="37" s="1"/>
  <c r="ET13" i="37" s="1"/>
  <c r="EU13" i="37" s="1"/>
  <c r="EV13" i="37" s="1"/>
  <c r="EQ22" i="37"/>
  <c r="ER22" i="37" s="1"/>
  <c r="ES22" i="37" s="1"/>
  <c r="ET22" i="37" s="1"/>
  <c r="EU22" i="37" s="1"/>
  <c r="EV22" i="37" s="1"/>
  <c r="EQ16" i="37"/>
  <c r="ER16" i="37" s="1"/>
  <c r="ES16" i="37" s="1"/>
  <c r="ET16" i="37" s="1"/>
  <c r="EU16" i="37" s="1"/>
  <c r="EV16" i="37" s="1"/>
  <c r="EQ24" i="37"/>
  <c r="ER24" i="37" s="1"/>
  <c r="ES24" i="37" s="1"/>
  <c r="ET24" i="37" s="1"/>
  <c r="EU24" i="37" s="1"/>
  <c r="EV24" i="37" s="1"/>
  <c r="EQ31" i="37"/>
  <c r="ER31" i="37" s="1"/>
  <c r="ES31" i="37" s="1"/>
  <c r="ET31" i="37" s="1"/>
  <c r="EU31" i="37" s="1"/>
  <c r="EV31" i="37" s="1"/>
  <c r="EQ15" i="37"/>
  <c r="ER15" i="37" s="1"/>
  <c r="ES15" i="37" s="1"/>
  <c r="ET15" i="37" s="1"/>
  <c r="EU15" i="37" s="1"/>
  <c r="EV15" i="37" s="1"/>
  <c r="EQ32" i="37"/>
  <c r="ER32" i="37" s="1"/>
  <c r="ES32" i="37" s="1"/>
  <c r="ET32" i="37" s="1"/>
  <c r="EU32" i="37" s="1"/>
  <c r="EV32" i="37" s="1"/>
  <c r="EQ30" i="37"/>
  <c r="ER30" i="37" s="1"/>
  <c r="ES30" i="37" s="1"/>
  <c r="ET30" i="37" s="1"/>
  <c r="EU30" i="37" s="1"/>
  <c r="EV30" i="37" s="1"/>
  <c r="EQ27" i="37"/>
  <c r="ER27" i="37" s="1"/>
  <c r="ES27" i="37" s="1"/>
  <c r="ET27" i="37" s="1"/>
  <c r="EU27" i="37" s="1"/>
  <c r="EV27" i="37" s="1"/>
  <c r="EQ17" i="37"/>
  <c r="ER17" i="37" s="1"/>
  <c r="ES17" i="37" s="1"/>
  <c r="ET17" i="37" s="1"/>
  <c r="EU17" i="37" s="1"/>
  <c r="EV17" i="37" s="1"/>
  <c r="EQ34" i="37"/>
  <c r="ER34" i="37" s="1"/>
  <c r="ES34" i="37" s="1"/>
  <c r="ET34" i="37" s="1"/>
  <c r="EU34" i="37" s="1"/>
  <c r="EV34" i="37" s="1"/>
  <c r="EQ18" i="37"/>
  <c r="ER18" i="37" s="1"/>
  <c r="ES18" i="37" s="1"/>
  <c r="ET18" i="37" s="1"/>
  <c r="EU18" i="37" s="1"/>
  <c r="EV18" i="37" s="1"/>
  <c r="EQ26" i="37"/>
  <c r="ER26" i="37" s="1"/>
  <c r="ES26" i="37" s="1"/>
  <c r="ET26" i="37" s="1"/>
  <c r="EU26" i="37" s="1"/>
  <c r="EV26" i="37" s="1"/>
  <c r="EQ28" i="37"/>
  <c r="ER28" i="37" s="1"/>
  <c r="ES28" i="37" s="1"/>
  <c r="ET28" i="37" s="1"/>
  <c r="EU28" i="37" s="1"/>
  <c r="EV28" i="37" s="1"/>
  <c r="EQ20" i="37"/>
  <c r="ER20" i="37" s="1"/>
  <c r="ES20" i="37" s="1"/>
  <c r="ET20" i="37" s="1"/>
  <c r="EU20" i="37" s="1"/>
  <c r="EV20" i="37" s="1"/>
  <c r="EQ21" i="37"/>
  <c r="ER21" i="37" s="1"/>
  <c r="ES21" i="37" s="1"/>
  <c r="ET21" i="37" s="1"/>
  <c r="EU21" i="37" s="1"/>
  <c r="EV21" i="37" s="1"/>
  <c r="EQ23" i="37"/>
  <c r="ER23" i="37" s="1"/>
  <c r="ES23" i="37" s="1"/>
  <c r="ET23" i="37" s="1"/>
  <c r="EU23" i="37" s="1"/>
  <c r="EV23" i="37" s="1"/>
  <c r="EQ29" i="37"/>
  <c r="ER29" i="37" s="1"/>
  <c r="ES29" i="37" s="1"/>
  <c r="ET29" i="37" s="1"/>
  <c r="EU29" i="37" s="1"/>
  <c r="EV29" i="37" s="1"/>
  <c r="EQ10" i="37"/>
  <c r="ER10" i="37" s="1"/>
  <c r="ES10" i="37" s="1"/>
  <c r="ET10" i="37" s="1"/>
  <c r="EU10" i="37" s="1"/>
  <c r="EV10" i="37" s="1"/>
  <c r="EQ14" i="37"/>
  <c r="ER14" i="37" s="1"/>
  <c r="ES14" i="37" s="1"/>
  <c r="ET14" i="37" s="1"/>
  <c r="EU14" i="37" s="1"/>
  <c r="EV14" i="37" s="1"/>
  <c r="EQ11" i="37"/>
  <c r="ER11" i="37" s="1"/>
  <c r="ES11" i="37" s="1"/>
  <c r="ET11" i="37" s="1"/>
  <c r="EU11" i="37" s="1"/>
  <c r="EV11" i="37" s="1"/>
  <c r="EQ36" i="37"/>
  <c r="ER36" i="37" s="1"/>
  <c r="ES36" i="37" s="1"/>
  <c r="ET36" i="37" s="1"/>
  <c r="EU36" i="37" s="1"/>
  <c r="EV36" i="37" s="1"/>
  <c r="EQ9" i="37" l="1"/>
  <c r="EP42" i="37"/>
  <c r="ER9" i="37" l="1"/>
  <c r="EQ42" i="37"/>
  <c r="ES9" i="37" l="1"/>
  <c r="ET9" i="37" s="1"/>
  <c r="ER42" i="37"/>
  <c r="ET42" i="37" l="1"/>
  <c r="EU9" i="37"/>
  <c r="EW38" i="37" l="1"/>
  <c r="EX38" i="37" s="1"/>
  <c r="EY38" i="37" s="1"/>
  <c r="EZ38" i="37" s="1"/>
  <c r="FA38" i="37" s="1"/>
  <c r="FB38" i="37" s="1"/>
  <c r="EW37" i="37"/>
  <c r="EX37" i="37" s="1"/>
  <c r="EY37" i="37" s="1"/>
  <c r="EZ37" i="37" s="1"/>
  <c r="FA37" i="37" s="1"/>
  <c r="FB37" i="37" s="1"/>
  <c r="EW39" i="37"/>
  <c r="EX39" i="37" s="1"/>
  <c r="EY39" i="37" s="1"/>
  <c r="EZ39" i="37" s="1"/>
  <c r="FA39" i="37" s="1"/>
  <c r="FB39" i="37" s="1"/>
  <c r="EW19" i="37"/>
  <c r="EX19" i="37" s="1"/>
  <c r="EY19" i="37" s="1"/>
  <c r="EZ19" i="37" s="1"/>
  <c r="FA19" i="37" s="1"/>
  <c r="FB19" i="37" s="1"/>
  <c r="EW25" i="37"/>
  <c r="EX25" i="37" s="1"/>
  <c r="EY25" i="37" s="1"/>
  <c r="EZ25" i="37" s="1"/>
  <c r="FA25" i="37" s="1"/>
  <c r="FB25" i="37" s="1"/>
  <c r="EV9" i="37"/>
  <c r="EU42" i="37"/>
  <c r="EW10" i="37"/>
  <c r="EX10" i="37" s="1"/>
  <c r="EY10" i="37" s="1"/>
  <c r="EZ10" i="37" s="1"/>
  <c r="FA10" i="37" s="1"/>
  <c r="FB10" i="37" s="1"/>
  <c r="EW16" i="37"/>
  <c r="EX16" i="37" s="1"/>
  <c r="EY16" i="37" s="1"/>
  <c r="EZ16" i="37" s="1"/>
  <c r="FA16" i="37" s="1"/>
  <c r="FB16" i="37" s="1"/>
  <c r="EW17" i="37"/>
  <c r="EX17" i="37" s="1"/>
  <c r="EY17" i="37" s="1"/>
  <c r="EZ17" i="37" s="1"/>
  <c r="FA17" i="37" s="1"/>
  <c r="FB17" i="37" s="1"/>
  <c r="EW11" i="37"/>
  <c r="EX11" i="37" s="1"/>
  <c r="EY11" i="37" s="1"/>
  <c r="EZ11" i="37" s="1"/>
  <c r="FA11" i="37" s="1"/>
  <c r="FB11" i="37" s="1"/>
  <c r="EW31" i="37"/>
  <c r="EX31" i="37" s="1"/>
  <c r="EY31" i="37" s="1"/>
  <c r="EZ31" i="37" s="1"/>
  <c r="FA31" i="37" s="1"/>
  <c r="FB31" i="37" s="1"/>
  <c r="EW36" i="37"/>
  <c r="EX36" i="37" s="1"/>
  <c r="EY36" i="37" s="1"/>
  <c r="EZ36" i="37" s="1"/>
  <c r="FA36" i="37" s="1"/>
  <c r="FB36" i="37" s="1"/>
  <c r="EW30" i="37"/>
  <c r="EX30" i="37" s="1"/>
  <c r="EY30" i="37" s="1"/>
  <c r="EZ30" i="37" s="1"/>
  <c r="FA30" i="37" s="1"/>
  <c r="FB30" i="37" s="1"/>
  <c r="EW21" i="37"/>
  <c r="EX21" i="37" s="1"/>
  <c r="EY21" i="37" s="1"/>
  <c r="EZ21" i="37" s="1"/>
  <c r="FA21" i="37" s="1"/>
  <c r="FB21" i="37" s="1"/>
  <c r="EW18" i="37"/>
  <c r="EX18" i="37" s="1"/>
  <c r="EY18" i="37" s="1"/>
  <c r="EZ18" i="37" s="1"/>
  <c r="FA18" i="37" s="1"/>
  <c r="FB18" i="37" s="1"/>
  <c r="EW20" i="37"/>
  <c r="EX20" i="37" s="1"/>
  <c r="EY20" i="37" s="1"/>
  <c r="EZ20" i="37" s="1"/>
  <c r="FA20" i="37" s="1"/>
  <c r="FB20" i="37" s="1"/>
  <c r="EW33" i="37"/>
  <c r="EX33" i="37" s="1"/>
  <c r="EY33" i="37" s="1"/>
  <c r="EZ33" i="37" s="1"/>
  <c r="FA33" i="37" s="1"/>
  <c r="FB33" i="37" s="1"/>
  <c r="EW15" i="37"/>
  <c r="EX15" i="37" s="1"/>
  <c r="EY15" i="37" s="1"/>
  <c r="EZ15" i="37" s="1"/>
  <c r="FA15" i="37" s="1"/>
  <c r="FB15" i="37" s="1"/>
  <c r="EW23" i="37"/>
  <c r="EX23" i="37" s="1"/>
  <c r="EY23" i="37" s="1"/>
  <c r="EZ23" i="37" s="1"/>
  <c r="FA23" i="37" s="1"/>
  <c r="FB23" i="37" s="1"/>
  <c r="EW13" i="37"/>
  <c r="EX13" i="37" s="1"/>
  <c r="EY13" i="37" s="1"/>
  <c r="EZ13" i="37" s="1"/>
  <c r="FA13" i="37" s="1"/>
  <c r="FB13" i="37" s="1"/>
  <c r="EW14" i="37"/>
  <c r="EX14" i="37" s="1"/>
  <c r="EY14" i="37" s="1"/>
  <c r="EZ14" i="37" s="1"/>
  <c r="FA14" i="37" s="1"/>
  <c r="FB14" i="37" s="1"/>
  <c r="EW24" i="37"/>
  <c r="EX24" i="37" s="1"/>
  <c r="EY24" i="37" s="1"/>
  <c r="EZ24" i="37" s="1"/>
  <c r="FA24" i="37" s="1"/>
  <c r="FB24" i="37" s="1"/>
  <c r="EW12" i="37"/>
  <c r="EX12" i="37" s="1"/>
  <c r="EY12" i="37" s="1"/>
  <c r="EZ12" i="37" s="1"/>
  <c r="FA12" i="37" s="1"/>
  <c r="FB12" i="37" s="1"/>
  <c r="EW34" i="37"/>
  <c r="EX34" i="37" s="1"/>
  <c r="EY34" i="37" s="1"/>
  <c r="EZ34" i="37" s="1"/>
  <c r="FA34" i="37" s="1"/>
  <c r="FB34" i="37" s="1"/>
  <c r="EW29" i="37"/>
  <c r="EX29" i="37" s="1"/>
  <c r="EY29" i="37" s="1"/>
  <c r="EZ29" i="37" s="1"/>
  <c r="FA29" i="37" s="1"/>
  <c r="FB29" i="37" s="1"/>
  <c r="EW22" i="37"/>
  <c r="EX22" i="37" s="1"/>
  <c r="EY22" i="37" s="1"/>
  <c r="EZ22" i="37" s="1"/>
  <c r="FA22" i="37" s="1"/>
  <c r="FB22" i="37" s="1"/>
  <c r="EW26" i="37"/>
  <c r="EX26" i="37" s="1"/>
  <c r="EY26" i="37" s="1"/>
  <c r="EZ26" i="37" s="1"/>
  <c r="FA26" i="37" s="1"/>
  <c r="FB26" i="37" s="1"/>
  <c r="EW32" i="37"/>
  <c r="EX32" i="37" s="1"/>
  <c r="EY32" i="37" s="1"/>
  <c r="EZ32" i="37" s="1"/>
  <c r="FA32" i="37" s="1"/>
  <c r="FB32" i="37" s="1"/>
  <c r="EW28" i="37"/>
  <c r="EX28" i="37" s="1"/>
  <c r="EY28" i="37" s="1"/>
  <c r="EZ28" i="37" s="1"/>
  <c r="FA28" i="37" s="1"/>
  <c r="FB28" i="37" s="1"/>
  <c r="EW35" i="37"/>
  <c r="EX35" i="37" s="1"/>
  <c r="EY35" i="37" s="1"/>
  <c r="EZ35" i="37" s="1"/>
  <c r="FA35" i="37" s="1"/>
  <c r="FB35" i="37" s="1"/>
  <c r="EW27" i="37"/>
  <c r="EX27" i="37" s="1"/>
  <c r="EY27" i="37" s="1"/>
  <c r="EZ27" i="37" s="1"/>
  <c r="FA27" i="37" s="1"/>
  <c r="FB27" i="37" s="1"/>
  <c r="EW9" i="37" l="1"/>
  <c r="EV42" i="37"/>
  <c r="EX9" i="37" l="1"/>
  <c r="EW42" i="37"/>
  <c r="EY9" i="37" l="1"/>
  <c r="EZ9" i="37" s="1"/>
  <c r="EX42" i="37"/>
  <c r="FA9" i="37" l="1"/>
  <c r="EZ42" i="37"/>
  <c r="FC39" i="37" l="1"/>
  <c r="FD39" i="37" s="1"/>
  <c r="FE39" i="37" s="1"/>
  <c r="FF39" i="37" s="1"/>
  <c r="FG39" i="37" s="1"/>
  <c r="FH39" i="37" s="1"/>
  <c r="FC37" i="37"/>
  <c r="FD37" i="37" s="1"/>
  <c r="FE37" i="37" s="1"/>
  <c r="FF37" i="37" s="1"/>
  <c r="FG37" i="37" s="1"/>
  <c r="FH37" i="37" s="1"/>
  <c r="FC38" i="37"/>
  <c r="FD38" i="37" s="1"/>
  <c r="FE38" i="37" s="1"/>
  <c r="FF38" i="37" s="1"/>
  <c r="FG38" i="37" s="1"/>
  <c r="FH38" i="37" s="1"/>
  <c r="FC25" i="37"/>
  <c r="FD25" i="37" s="1"/>
  <c r="FE25" i="37" s="1"/>
  <c r="FF25" i="37" s="1"/>
  <c r="FG25" i="37" s="1"/>
  <c r="FH25" i="37" s="1"/>
  <c r="FC19" i="37"/>
  <c r="FD19" i="37" s="1"/>
  <c r="FE19" i="37" s="1"/>
  <c r="FF19" i="37" s="1"/>
  <c r="FG19" i="37" s="1"/>
  <c r="FH19" i="37" s="1"/>
  <c r="FC32" i="37"/>
  <c r="FD32" i="37" s="1"/>
  <c r="FE32" i="37" s="1"/>
  <c r="FF32" i="37" s="1"/>
  <c r="FG32" i="37" s="1"/>
  <c r="FH32" i="37" s="1"/>
  <c r="FC36" i="37"/>
  <c r="FD36" i="37" s="1"/>
  <c r="FE36" i="37" s="1"/>
  <c r="FF36" i="37" s="1"/>
  <c r="FG36" i="37" s="1"/>
  <c r="FH36" i="37" s="1"/>
  <c r="FC23" i="37"/>
  <c r="FD23" i="37" s="1"/>
  <c r="FE23" i="37" s="1"/>
  <c r="FF23" i="37" s="1"/>
  <c r="FG23" i="37" s="1"/>
  <c r="FH23" i="37" s="1"/>
  <c r="FC35" i="37"/>
  <c r="FD35" i="37" s="1"/>
  <c r="FE35" i="37" s="1"/>
  <c r="FF35" i="37" s="1"/>
  <c r="FG35" i="37" s="1"/>
  <c r="FH35" i="37" s="1"/>
  <c r="FC21" i="37"/>
  <c r="FD21" i="37" s="1"/>
  <c r="FE21" i="37" s="1"/>
  <c r="FF21" i="37" s="1"/>
  <c r="FG21" i="37" s="1"/>
  <c r="FH21" i="37" s="1"/>
  <c r="FC29" i="37"/>
  <c r="FD29" i="37" s="1"/>
  <c r="FE29" i="37" s="1"/>
  <c r="FF29" i="37" s="1"/>
  <c r="FG29" i="37" s="1"/>
  <c r="FH29" i="37" s="1"/>
  <c r="FC17" i="37"/>
  <c r="FD17" i="37" s="1"/>
  <c r="FE17" i="37" s="1"/>
  <c r="FF17" i="37" s="1"/>
  <c r="FG17" i="37" s="1"/>
  <c r="FH17" i="37" s="1"/>
  <c r="FC33" i="37"/>
  <c r="FD33" i="37" s="1"/>
  <c r="FE33" i="37" s="1"/>
  <c r="FF33" i="37" s="1"/>
  <c r="FG33" i="37" s="1"/>
  <c r="FH33" i="37" s="1"/>
  <c r="FC30" i="37"/>
  <c r="FD30" i="37" s="1"/>
  <c r="FE30" i="37" s="1"/>
  <c r="FF30" i="37" s="1"/>
  <c r="FG30" i="37" s="1"/>
  <c r="FH30" i="37" s="1"/>
  <c r="FC34" i="37"/>
  <c r="FD34" i="37" s="1"/>
  <c r="FE34" i="37" s="1"/>
  <c r="FF34" i="37" s="1"/>
  <c r="FG34" i="37" s="1"/>
  <c r="FH34" i="37" s="1"/>
  <c r="FC16" i="37"/>
  <c r="FD16" i="37" s="1"/>
  <c r="FE16" i="37" s="1"/>
  <c r="FF16" i="37" s="1"/>
  <c r="FG16" i="37" s="1"/>
  <c r="FH16" i="37" s="1"/>
  <c r="FC18" i="37"/>
  <c r="FD18" i="37" s="1"/>
  <c r="FE18" i="37" s="1"/>
  <c r="FF18" i="37" s="1"/>
  <c r="FG18" i="37" s="1"/>
  <c r="FH18" i="37" s="1"/>
  <c r="FC22" i="37"/>
  <c r="FD22" i="37" s="1"/>
  <c r="FE22" i="37" s="1"/>
  <c r="FF22" i="37" s="1"/>
  <c r="FG22" i="37" s="1"/>
  <c r="FH22" i="37" s="1"/>
  <c r="FC11" i="37"/>
  <c r="FD11" i="37" s="1"/>
  <c r="FE11" i="37" s="1"/>
  <c r="FF11" i="37" s="1"/>
  <c r="FG11" i="37" s="1"/>
  <c r="FH11" i="37" s="1"/>
  <c r="FC14" i="37"/>
  <c r="FD14" i="37" s="1"/>
  <c r="FE14" i="37" s="1"/>
  <c r="FF14" i="37" s="1"/>
  <c r="FG14" i="37" s="1"/>
  <c r="FH14" i="37" s="1"/>
  <c r="FC13" i="37"/>
  <c r="FD13" i="37" s="1"/>
  <c r="FE13" i="37" s="1"/>
  <c r="FF13" i="37" s="1"/>
  <c r="FG13" i="37" s="1"/>
  <c r="FH13" i="37" s="1"/>
  <c r="FC26" i="37"/>
  <c r="FD26" i="37" s="1"/>
  <c r="FE26" i="37" s="1"/>
  <c r="FF26" i="37" s="1"/>
  <c r="FG26" i="37" s="1"/>
  <c r="FH26" i="37" s="1"/>
  <c r="FC31" i="37"/>
  <c r="FD31" i="37" s="1"/>
  <c r="FE31" i="37" s="1"/>
  <c r="FF31" i="37" s="1"/>
  <c r="FG31" i="37" s="1"/>
  <c r="FH31" i="37" s="1"/>
  <c r="FC24" i="37"/>
  <c r="FD24" i="37" s="1"/>
  <c r="FE24" i="37" s="1"/>
  <c r="FF24" i="37" s="1"/>
  <c r="FG24" i="37" s="1"/>
  <c r="FH24" i="37" s="1"/>
  <c r="FC27" i="37"/>
  <c r="FD27" i="37" s="1"/>
  <c r="FE27" i="37" s="1"/>
  <c r="FF27" i="37" s="1"/>
  <c r="FG27" i="37" s="1"/>
  <c r="FH27" i="37" s="1"/>
  <c r="FC20" i="37"/>
  <c r="FD20" i="37" s="1"/>
  <c r="FE20" i="37" s="1"/>
  <c r="FF20" i="37" s="1"/>
  <c r="FG20" i="37" s="1"/>
  <c r="FH20" i="37" s="1"/>
  <c r="FC12" i="37"/>
  <c r="FD12" i="37" s="1"/>
  <c r="FE12" i="37" s="1"/>
  <c r="FF12" i="37" s="1"/>
  <c r="FG12" i="37" s="1"/>
  <c r="FH12" i="37" s="1"/>
  <c r="FC10" i="37"/>
  <c r="FD10" i="37" s="1"/>
  <c r="FE10" i="37" s="1"/>
  <c r="FF10" i="37" s="1"/>
  <c r="FG10" i="37" s="1"/>
  <c r="FH10" i="37" s="1"/>
  <c r="FC15" i="37"/>
  <c r="FD15" i="37" s="1"/>
  <c r="FE15" i="37" s="1"/>
  <c r="FF15" i="37" s="1"/>
  <c r="FG15" i="37" s="1"/>
  <c r="FH15" i="37" s="1"/>
  <c r="FC28" i="37"/>
  <c r="FD28" i="37" s="1"/>
  <c r="FE28" i="37" s="1"/>
  <c r="FF28" i="37" s="1"/>
  <c r="FG28" i="37" s="1"/>
  <c r="FH28" i="37" s="1"/>
  <c r="FB9" i="37"/>
  <c r="FA42" i="37"/>
  <c r="FB42" i="37" l="1"/>
  <c r="FC9" i="37"/>
  <c r="FD9" i="37" l="1"/>
  <c r="FC42" i="37"/>
  <c r="FD42" i="37" l="1"/>
  <c r="FE9" i="37"/>
  <c r="FF9" i="37" s="1"/>
  <c r="FF42" i="37" l="1"/>
  <c r="FG9" i="37"/>
  <c r="FI38" i="37" l="1"/>
  <c r="FJ38" i="37" s="1"/>
  <c r="FK38" i="37" s="1"/>
  <c r="FL38" i="37" s="1"/>
  <c r="FM38" i="37" s="1"/>
  <c r="FN38" i="37" s="1"/>
  <c r="FI37" i="37"/>
  <c r="FJ37" i="37" s="1"/>
  <c r="FK37" i="37" s="1"/>
  <c r="FL37" i="37" s="1"/>
  <c r="FM37" i="37" s="1"/>
  <c r="FN37" i="37" s="1"/>
  <c r="FI39" i="37"/>
  <c r="FJ39" i="37" s="1"/>
  <c r="FK39" i="37" s="1"/>
  <c r="FL39" i="37" s="1"/>
  <c r="FM39" i="37" s="1"/>
  <c r="FN39" i="37" s="1"/>
  <c r="FI19" i="37"/>
  <c r="FJ19" i="37" s="1"/>
  <c r="FK19" i="37" s="1"/>
  <c r="FL19" i="37" s="1"/>
  <c r="FM19" i="37" s="1"/>
  <c r="FN19" i="37" s="1"/>
  <c r="FI25" i="37"/>
  <c r="FJ25" i="37" s="1"/>
  <c r="FK25" i="37" s="1"/>
  <c r="FL25" i="37" s="1"/>
  <c r="FM25" i="37" s="1"/>
  <c r="FN25" i="37" s="1"/>
  <c r="FH9" i="37"/>
  <c r="FG42" i="37"/>
  <c r="FI15" i="37"/>
  <c r="FJ15" i="37" s="1"/>
  <c r="FK15" i="37" s="1"/>
  <c r="FL15" i="37" s="1"/>
  <c r="FM15" i="37" s="1"/>
  <c r="FN15" i="37" s="1"/>
  <c r="FI33" i="37"/>
  <c r="FJ33" i="37" s="1"/>
  <c r="FK33" i="37" s="1"/>
  <c r="FL33" i="37" s="1"/>
  <c r="FM33" i="37" s="1"/>
  <c r="FN33" i="37" s="1"/>
  <c r="FI24" i="37"/>
  <c r="FJ24" i="37" s="1"/>
  <c r="FK24" i="37" s="1"/>
  <c r="FL24" i="37" s="1"/>
  <c r="FM24" i="37" s="1"/>
  <c r="FN24" i="37" s="1"/>
  <c r="FI23" i="37"/>
  <c r="FJ23" i="37" s="1"/>
  <c r="FK23" i="37" s="1"/>
  <c r="FL23" i="37" s="1"/>
  <c r="FM23" i="37" s="1"/>
  <c r="FN23" i="37" s="1"/>
  <c r="FI34" i="37"/>
  <c r="FJ34" i="37" s="1"/>
  <c r="FK34" i="37" s="1"/>
  <c r="FL34" i="37" s="1"/>
  <c r="FM34" i="37" s="1"/>
  <c r="FN34" i="37" s="1"/>
  <c r="FI27" i="37"/>
  <c r="FJ27" i="37" s="1"/>
  <c r="FK27" i="37" s="1"/>
  <c r="FL27" i="37" s="1"/>
  <c r="FM27" i="37" s="1"/>
  <c r="FN27" i="37" s="1"/>
  <c r="FI35" i="37"/>
  <c r="FJ35" i="37" s="1"/>
  <c r="FK35" i="37" s="1"/>
  <c r="FL35" i="37" s="1"/>
  <c r="FM35" i="37" s="1"/>
  <c r="FN35" i="37" s="1"/>
  <c r="FI14" i="37"/>
  <c r="FJ14" i="37" s="1"/>
  <c r="FK14" i="37" s="1"/>
  <c r="FL14" i="37" s="1"/>
  <c r="FM14" i="37" s="1"/>
  <c r="FN14" i="37" s="1"/>
  <c r="FI12" i="37"/>
  <c r="FJ12" i="37" s="1"/>
  <c r="FK12" i="37" s="1"/>
  <c r="FL12" i="37" s="1"/>
  <c r="FM12" i="37" s="1"/>
  <c r="FN12" i="37" s="1"/>
  <c r="FI29" i="37"/>
  <c r="FJ29" i="37" s="1"/>
  <c r="FK29" i="37" s="1"/>
  <c r="FL29" i="37" s="1"/>
  <c r="FM29" i="37" s="1"/>
  <c r="FN29" i="37" s="1"/>
  <c r="FI20" i="37"/>
  <c r="FJ20" i="37" s="1"/>
  <c r="FK20" i="37" s="1"/>
  <c r="FL20" i="37" s="1"/>
  <c r="FM20" i="37" s="1"/>
  <c r="FN20" i="37" s="1"/>
  <c r="FI21" i="37"/>
  <c r="FJ21" i="37" s="1"/>
  <c r="FK21" i="37" s="1"/>
  <c r="FL21" i="37" s="1"/>
  <c r="FM21" i="37" s="1"/>
  <c r="FN21" i="37" s="1"/>
  <c r="FI26" i="37"/>
  <c r="FJ26" i="37" s="1"/>
  <c r="FK26" i="37" s="1"/>
  <c r="FL26" i="37" s="1"/>
  <c r="FM26" i="37" s="1"/>
  <c r="FN26" i="37" s="1"/>
  <c r="FI22" i="37"/>
  <c r="FJ22" i="37" s="1"/>
  <c r="FK22" i="37" s="1"/>
  <c r="FL22" i="37" s="1"/>
  <c r="FM22" i="37" s="1"/>
  <c r="FN22" i="37" s="1"/>
  <c r="FI30" i="37"/>
  <c r="FJ30" i="37" s="1"/>
  <c r="FK30" i="37" s="1"/>
  <c r="FL30" i="37" s="1"/>
  <c r="FM30" i="37" s="1"/>
  <c r="FN30" i="37" s="1"/>
  <c r="FI13" i="37"/>
  <c r="FJ13" i="37" s="1"/>
  <c r="FK13" i="37" s="1"/>
  <c r="FL13" i="37" s="1"/>
  <c r="FM13" i="37" s="1"/>
  <c r="FN13" i="37" s="1"/>
  <c r="FI28" i="37"/>
  <c r="FJ28" i="37" s="1"/>
  <c r="FK28" i="37" s="1"/>
  <c r="FL28" i="37" s="1"/>
  <c r="FM28" i="37" s="1"/>
  <c r="FN28" i="37" s="1"/>
  <c r="FI16" i="37"/>
  <c r="FJ16" i="37" s="1"/>
  <c r="FK16" i="37" s="1"/>
  <c r="FL16" i="37" s="1"/>
  <c r="FM16" i="37" s="1"/>
  <c r="FN16" i="37" s="1"/>
  <c r="FI31" i="37"/>
  <c r="FJ31" i="37" s="1"/>
  <c r="FK31" i="37" s="1"/>
  <c r="FL31" i="37" s="1"/>
  <c r="FM31" i="37" s="1"/>
  <c r="FN31" i="37" s="1"/>
  <c r="FI36" i="37"/>
  <c r="FJ36" i="37" s="1"/>
  <c r="FK36" i="37" s="1"/>
  <c r="FL36" i="37" s="1"/>
  <c r="FM36" i="37" s="1"/>
  <c r="FN36" i="37" s="1"/>
  <c r="FI32" i="37"/>
  <c r="FJ32" i="37" s="1"/>
  <c r="FK32" i="37" s="1"/>
  <c r="FL32" i="37" s="1"/>
  <c r="FM32" i="37" s="1"/>
  <c r="FN32" i="37" s="1"/>
  <c r="FI18" i="37"/>
  <c r="FJ18" i="37" s="1"/>
  <c r="FK18" i="37" s="1"/>
  <c r="FL18" i="37" s="1"/>
  <c r="FM18" i="37" s="1"/>
  <c r="FN18" i="37" s="1"/>
  <c r="FI10" i="37"/>
  <c r="FJ10" i="37" s="1"/>
  <c r="FK10" i="37" s="1"/>
  <c r="FL10" i="37" s="1"/>
  <c r="FM10" i="37" s="1"/>
  <c r="FN10" i="37" s="1"/>
  <c r="FI17" i="37"/>
  <c r="FJ17" i="37" s="1"/>
  <c r="FK17" i="37" s="1"/>
  <c r="FL17" i="37" s="1"/>
  <c r="FM17" i="37" s="1"/>
  <c r="FN17" i="37" s="1"/>
  <c r="FI11" i="37"/>
  <c r="FJ11" i="37" s="1"/>
  <c r="FK11" i="37" s="1"/>
  <c r="FL11" i="37" s="1"/>
  <c r="FM11" i="37" s="1"/>
  <c r="FN11" i="37" s="1"/>
  <c r="FH42" i="37" l="1"/>
  <c r="FI9" i="37"/>
  <c r="FJ9" i="37" l="1"/>
  <c r="FI42" i="37"/>
  <c r="FJ42" i="37" l="1"/>
  <c r="FK9" i="37"/>
  <c r="FL9" i="37" s="1"/>
  <c r="FL42" i="37" l="1"/>
  <c r="FM9" i="37"/>
  <c r="FO39" i="37" l="1"/>
  <c r="FP39" i="37" s="1"/>
  <c r="FQ39" i="37" s="1"/>
  <c r="FR39" i="37" s="1"/>
  <c r="FS39" i="37" s="1"/>
  <c r="FT39" i="37" s="1"/>
  <c r="FO37" i="37"/>
  <c r="FP37" i="37" s="1"/>
  <c r="FQ37" i="37" s="1"/>
  <c r="FR37" i="37" s="1"/>
  <c r="FS37" i="37" s="1"/>
  <c r="FT37" i="37" s="1"/>
  <c r="FO38" i="37"/>
  <c r="FP38" i="37" s="1"/>
  <c r="FQ38" i="37" s="1"/>
  <c r="FR38" i="37" s="1"/>
  <c r="FS38" i="37" s="1"/>
  <c r="FT38" i="37" s="1"/>
  <c r="FO25" i="37"/>
  <c r="FP25" i="37" s="1"/>
  <c r="FQ25" i="37" s="1"/>
  <c r="FR25" i="37" s="1"/>
  <c r="FS25" i="37" s="1"/>
  <c r="FT25" i="37" s="1"/>
  <c r="FO19" i="37"/>
  <c r="FP19" i="37" s="1"/>
  <c r="FQ19" i="37" s="1"/>
  <c r="FR19" i="37" s="1"/>
  <c r="FS19" i="37" s="1"/>
  <c r="FT19" i="37" s="1"/>
  <c r="FN9" i="37"/>
  <c r="FM42" i="37"/>
  <c r="FO18" i="37"/>
  <c r="FP18" i="37" s="1"/>
  <c r="FQ18" i="37" s="1"/>
  <c r="FR18" i="37" s="1"/>
  <c r="FS18" i="37" s="1"/>
  <c r="FT18" i="37" s="1"/>
  <c r="FO27" i="37"/>
  <c r="FP27" i="37" s="1"/>
  <c r="FQ27" i="37" s="1"/>
  <c r="FR27" i="37" s="1"/>
  <c r="FS27" i="37" s="1"/>
  <c r="FT27" i="37" s="1"/>
  <c r="FO26" i="37"/>
  <c r="FP26" i="37" s="1"/>
  <c r="FQ26" i="37" s="1"/>
  <c r="FR26" i="37" s="1"/>
  <c r="FS26" i="37" s="1"/>
  <c r="FT26" i="37" s="1"/>
  <c r="FO11" i="37"/>
  <c r="FP11" i="37" s="1"/>
  <c r="FQ11" i="37" s="1"/>
  <c r="FR11" i="37" s="1"/>
  <c r="FS11" i="37" s="1"/>
  <c r="FT11" i="37" s="1"/>
  <c r="FO21" i="37"/>
  <c r="FP21" i="37" s="1"/>
  <c r="FQ21" i="37" s="1"/>
  <c r="FR21" i="37" s="1"/>
  <c r="FS21" i="37" s="1"/>
  <c r="FT21" i="37" s="1"/>
  <c r="FO31" i="37"/>
  <c r="FP31" i="37" s="1"/>
  <c r="FQ31" i="37" s="1"/>
  <c r="FR31" i="37" s="1"/>
  <c r="FS31" i="37" s="1"/>
  <c r="FT31" i="37" s="1"/>
  <c r="FO24" i="37"/>
  <c r="FP24" i="37" s="1"/>
  <c r="FQ24" i="37" s="1"/>
  <c r="FR24" i="37" s="1"/>
  <c r="FS24" i="37" s="1"/>
  <c r="FT24" i="37" s="1"/>
  <c r="FO23" i="37"/>
  <c r="FP23" i="37" s="1"/>
  <c r="FQ23" i="37" s="1"/>
  <c r="FR23" i="37" s="1"/>
  <c r="FS23" i="37" s="1"/>
  <c r="FT23" i="37" s="1"/>
  <c r="FO16" i="37"/>
  <c r="FP16" i="37" s="1"/>
  <c r="FQ16" i="37" s="1"/>
  <c r="FR16" i="37" s="1"/>
  <c r="FS16" i="37" s="1"/>
  <c r="FT16" i="37" s="1"/>
  <c r="FO33" i="37"/>
  <c r="FP33" i="37" s="1"/>
  <c r="FQ33" i="37" s="1"/>
  <c r="FR33" i="37" s="1"/>
  <c r="FS33" i="37" s="1"/>
  <c r="FT33" i="37" s="1"/>
  <c r="FO12" i="37"/>
  <c r="FP12" i="37" s="1"/>
  <c r="FQ12" i="37" s="1"/>
  <c r="FR12" i="37" s="1"/>
  <c r="FS12" i="37" s="1"/>
  <c r="FT12" i="37" s="1"/>
  <c r="FO17" i="37"/>
  <c r="FP17" i="37" s="1"/>
  <c r="FQ17" i="37" s="1"/>
  <c r="FR17" i="37" s="1"/>
  <c r="FS17" i="37" s="1"/>
  <c r="FT17" i="37" s="1"/>
  <c r="FO14" i="37"/>
  <c r="FP14" i="37" s="1"/>
  <c r="FQ14" i="37" s="1"/>
  <c r="FR14" i="37" s="1"/>
  <c r="FS14" i="37" s="1"/>
  <c r="FT14" i="37" s="1"/>
  <c r="FO30" i="37"/>
  <c r="FP30" i="37" s="1"/>
  <c r="FQ30" i="37" s="1"/>
  <c r="FR30" i="37" s="1"/>
  <c r="FS30" i="37" s="1"/>
  <c r="FT30" i="37" s="1"/>
  <c r="FO22" i="37"/>
  <c r="FP22" i="37" s="1"/>
  <c r="FQ22" i="37" s="1"/>
  <c r="FR22" i="37" s="1"/>
  <c r="FS22" i="37" s="1"/>
  <c r="FT22" i="37" s="1"/>
  <c r="FO32" i="37"/>
  <c r="FP32" i="37" s="1"/>
  <c r="FQ32" i="37" s="1"/>
  <c r="FR32" i="37" s="1"/>
  <c r="FS32" i="37" s="1"/>
  <c r="FT32" i="37" s="1"/>
  <c r="FO34" i="37"/>
  <c r="FP34" i="37" s="1"/>
  <c r="FQ34" i="37" s="1"/>
  <c r="FR34" i="37" s="1"/>
  <c r="FS34" i="37" s="1"/>
  <c r="FT34" i="37" s="1"/>
  <c r="FO36" i="37"/>
  <c r="FP36" i="37" s="1"/>
  <c r="FQ36" i="37" s="1"/>
  <c r="FR36" i="37" s="1"/>
  <c r="FS36" i="37" s="1"/>
  <c r="FT36" i="37" s="1"/>
  <c r="FO20" i="37"/>
  <c r="FP20" i="37" s="1"/>
  <c r="FQ20" i="37" s="1"/>
  <c r="FR20" i="37" s="1"/>
  <c r="FS20" i="37" s="1"/>
  <c r="FT20" i="37" s="1"/>
  <c r="FO29" i="37"/>
  <c r="FP29" i="37" s="1"/>
  <c r="FQ29" i="37" s="1"/>
  <c r="FR29" i="37" s="1"/>
  <c r="FS29" i="37" s="1"/>
  <c r="FT29" i="37" s="1"/>
  <c r="FO28" i="37"/>
  <c r="FP28" i="37" s="1"/>
  <c r="FQ28" i="37" s="1"/>
  <c r="FR28" i="37" s="1"/>
  <c r="FS28" i="37" s="1"/>
  <c r="FT28" i="37" s="1"/>
  <c r="FO15" i="37"/>
  <c r="FP15" i="37" s="1"/>
  <c r="FQ15" i="37" s="1"/>
  <c r="FR15" i="37" s="1"/>
  <c r="FS15" i="37" s="1"/>
  <c r="FT15" i="37" s="1"/>
  <c r="FO13" i="37"/>
  <c r="FP13" i="37" s="1"/>
  <c r="FQ13" i="37" s="1"/>
  <c r="FR13" i="37" s="1"/>
  <c r="FS13" i="37" s="1"/>
  <c r="FT13" i="37" s="1"/>
  <c r="FO10" i="37"/>
  <c r="FP10" i="37" s="1"/>
  <c r="FQ10" i="37" s="1"/>
  <c r="FR10" i="37" s="1"/>
  <c r="FS10" i="37" s="1"/>
  <c r="FT10" i="37" s="1"/>
  <c r="FO35" i="37"/>
  <c r="FP35" i="37" s="1"/>
  <c r="FQ35" i="37" s="1"/>
  <c r="FR35" i="37" s="1"/>
  <c r="FS35" i="37" s="1"/>
  <c r="FT35" i="37" s="1"/>
  <c r="FN42" i="37" l="1"/>
  <c r="FO9" i="37"/>
  <c r="FO42" i="37" l="1"/>
  <c r="FP9" i="37"/>
  <c r="FP42" i="37" l="1"/>
  <c r="FQ9" i="37"/>
  <c r="FR9" i="37" s="1"/>
  <c r="FS9" i="37" l="1"/>
  <c r="FR42" i="37"/>
  <c r="FU38" i="37" l="1"/>
  <c r="FV38" i="37" s="1"/>
  <c r="FW38" i="37" s="1"/>
  <c r="FX38" i="37" s="1"/>
  <c r="FY38" i="37" s="1"/>
  <c r="FZ38" i="37" s="1"/>
  <c r="FU37" i="37"/>
  <c r="FV37" i="37" s="1"/>
  <c r="FW37" i="37" s="1"/>
  <c r="FX37" i="37" s="1"/>
  <c r="FY37" i="37" s="1"/>
  <c r="FZ37" i="37" s="1"/>
  <c r="FU39" i="37"/>
  <c r="FV39" i="37" s="1"/>
  <c r="FW39" i="37" s="1"/>
  <c r="FX39" i="37" s="1"/>
  <c r="FY39" i="37" s="1"/>
  <c r="FZ39" i="37" s="1"/>
  <c r="FU19" i="37"/>
  <c r="FV19" i="37" s="1"/>
  <c r="FW19" i="37" s="1"/>
  <c r="FX19" i="37" s="1"/>
  <c r="FY19" i="37" s="1"/>
  <c r="FZ19" i="37" s="1"/>
  <c r="FU25" i="37"/>
  <c r="FV25" i="37" s="1"/>
  <c r="FW25" i="37" s="1"/>
  <c r="FX25" i="37" s="1"/>
  <c r="FY25" i="37" s="1"/>
  <c r="FZ25" i="37" s="1"/>
  <c r="FU15" i="37"/>
  <c r="FV15" i="37" s="1"/>
  <c r="FW15" i="37" s="1"/>
  <c r="FX15" i="37" s="1"/>
  <c r="FY15" i="37" s="1"/>
  <c r="FZ15" i="37" s="1"/>
  <c r="FU31" i="37"/>
  <c r="FV31" i="37" s="1"/>
  <c r="FW31" i="37" s="1"/>
  <c r="FX31" i="37" s="1"/>
  <c r="FY31" i="37" s="1"/>
  <c r="FZ31" i="37" s="1"/>
  <c r="FU34" i="37"/>
  <c r="FV34" i="37" s="1"/>
  <c r="FW34" i="37" s="1"/>
  <c r="FX34" i="37" s="1"/>
  <c r="FY34" i="37" s="1"/>
  <c r="FZ34" i="37" s="1"/>
  <c r="FU18" i="37"/>
  <c r="FV18" i="37" s="1"/>
  <c r="FW18" i="37" s="1"/>
  <c r="FX18" i="37" s="1"/>
  <c r="FY18" i="37" s="1"/>
  <c r="FZ18" i="37" s="1"/>
  <c r="FU17" i="37"/>
  <c r="FV17" i="37" s="1"/>
  <c r="FW17" i="37" s="1"/>
  <c r="FX17" i="37" s="1"/>
  <c r="FY17" i="37" s="1"/>
  <c r="FZ17" i="37" s="1"/>
  <c r="FU20" i="37"/>
  <c r="FV20" i="37" s="1"/>
  <c r="FW20" i="37" s="1"/>
  <c r="FX20" i="37" s="1"/>
  <c r="FY20" i="37" s="1"/>
  <c r="FZ20" i="37" s="1"/>
  <c r="FU26" i="37"/>
  <c r="FV26" i="37" s="1"/>
  <c r="FW26" i="37" s="1"/>
  <c r="FX26" i="37" s="1"/>
  <c r="FY26" i="37" s="1"/>
  <c r="FZ26" i="37" s="1"/>
  <c r="FU36" i="37"/>
  <c r="FV36" i="37" s="1"/>
  <c r="FW36" i="37" s="1"/>
  <c r="FX36" i="37" s="1"/>
  <c r="FY36" i="37" s="1"/>
  <c r="FZ36" i="37" s="1"/>
  <c r="FU27" i="37"/>
  <c r="FV27" i="37" s="1"/>
  <c r="FW27" i="37" s="1"/>
  <c r="FX27" i="37" s="1"/>
  <c r="FY27" i="37" s="1"/>
  <c r="FZ27" i="37" s="1"/>
  <c r="FU14" i="37"/>
  <c r="FV14" i="37" s="1"/>
  <c r="FW14" i="37" s="1"/>
  <c r="FX14" i="37" s="1"/>
  <c r="FY14" i="37" s="1"/>
  <c r="FZ14" i="37" s="1"/>
  <c r="FU10" i="37"/>
  <c r="FV10" i="37" s="1"/>
  <c r="FW10" i="37" s="1"/>
  <c r="FX10" i="37" s="1"/>
  <c r="FY10" i="37" s="1"/>
  <c r="FZ10" i="37" s="1"/>
  <c r="FU23" i="37"/>
  <c r="FV23" i="37" s="1"/>
  <c r="FW23" i="37" s="1"/>
  <c r="FX23" i="37" s="1"/>
  <c r="FY23" i="37" s="1"/>
  <c r="FZ23" i="37" s="1"/>
  <c r="FU22" i="37"/>
  <c r="FV22" i="37" s="1"/>
  <c r="FW22" i="37" s="1"/>
  <c r="FX22" i="37" s="1"/>
  <c r="FY22" i="37" s="1"/>
  <c r="FZ22" i="37" s="1"/>
  <c r="FU11" i="37"/>
  <c r="FV11" i="37" s="1"/>
  <c r="FW11" i="37" s="1"/>
  <c r="FX11" i="37" s="1"/>
  <c r="FY11" i="37" s="1"/>
  <c r="FZ11" i="37" s="1"/>
  <c r="FU30" i="37"/>
  <c r="FV30" i="37" s="1"/>
  <c r="FW30" i="37" s="1"/>
  <c r="FX30" i="37" s="1"/>
  <c r="FY30" i="37" s="1"/>
  <c r="FZ30" i="37" s="1"/>
  <c r="FU35" i="37"/>
  <c r="FV35" i="37" s="1"/>
  <c r="FW35" i="37" s="1"/>
  <c r="FX35" i="37" s="1"/>
  <c r="FY35" i="37" s="1"/>
  <c r="FZ35" i="37" s="1"/>
  <c r="FU16" i="37"/>
  <c r="FV16" i="37" s="1"/>
  <c r="FW16" i="37" s="1"/>
  <c r="FX16" i="37" s="1"/>
  <c r="FY16" i="37" s="1"/>
  <c r="FZ16" i="37" s="1"/>
  <c r="FU29" i="37"/>
  <c r="FV29" i="37" s="1"/>
  <c r="FW29" i="37" s="1"/>
  <c r="FX29" i="37" s="1"/>
  <c r="FY29" i="37" s="1"/>
  <c r="FZ29" i="37" s="1"/>
  <c r="FU12" i="37"/>
  <c r="FV12" i="37" s="1"/>
  <c r="FW12" i="37" s="1"/>
  <c r="FX12" i="37" s="1"/>
  <c r="FY12" i="37" s="1"/>
  <c r="FZ12" i="37" s="1"/>
  <c r="FU33" i="37"/>
  <c r="FV33" i="37" s="1"/>
  <c r="FW33" i="37" s="1"/>
  <c r="FX33" i="37" s="1"/>
  <c r="FY33" i="37" s="1"/>
  <c r="FZ33" i="37" s="1"/>
  <c r="FU28" i="37"/>
  <c r="FV28" i="37" s="1"/>
  <c r="FW28" i="37" s="1"/>
  <c r="FX28" i="37" s="1"/>
  <c r="FY28" i="37" s="1"/>
  <c r="FZ28" i="37" s="1"/>
  <c r="FU21" i="37"/>
  <c r="FV21" i="37" s="1"/>
  <c r="FW21" i="37" s="1"/>
  <c r="FX21" i="37" s="1"/>
  <c r="FY21" i="37" s="1"/>
  <c r="FZ21" i="37" s="1"/>
  <c r="FU32" i="37"/>
  <c r="FV32" i="37" s="1"/>
  <c r="FW32" i="37" s="1"/>
  <c r="FX32" i="37" s="1"/>
  <c r="FY32" i="37" s="1"/>
  <c r="FZ32" i="37" s="1"/>
  <c r="FU13" i="37"/>
  <c r="FV13" i="37" s="1"/>
  <c r="FW13" i="37" s="1"/>
  <c r="FX13" i="37" s="1"/>
  <c r="FY13" i="37" s="1"/>
  <c r="FZ13" i="37" s="1"/>
  <c r="FU24" i="37"/>
  <c r="FV24" i="37" s="1"/>
  <c r="FW24" i="37" s="1"/>
  <c r="FX24" i="37" s="1"/>
  <c r="FY24" i="37" s="1"/>
  <c r="FZ24" i="37" s="1"/>
  <c r="FT9" i="37"/>
  <c r="FS42" i="37"/>
  <c r="FT42" i="37" l="1"/>
  <c r="FU9" i="37"/>
  <c r="FU42" i="37" l="1"/>
  <c r="FV9" i="37"/>
  <c r="FW9" i="37" l="1"/>
  <c r="FX9" i="37" s="1"/>
  <c r="FV42" i="37"/>
  <c r="FX42" i="37" l="1"/>
  <c r="FY9" i="37"/>
  <c r="GA39" i="37" l="1"/>
  <c r="GB39" i="37" s="1"/>
  <c r="GC39" i="37" s="1"/>
  <c r="GD39" i="37" s="1"/>
  <c r="GE39" i="37" s="1"/>
  <c r="GF39" i="37" s="1"/>
  <c r="GA37" i="37"/>
  <c r="GB37" i="37" s="1"/>
  <c r="GC37" i="37" s="1"/>
  <c r="GD37" i="37" s="1"/>
  <c r="GE37" i="37" s="1"/>
  <c r="GF37" i="37" s="1"/>
  <c r="GA38" i="37"/>
  <c r="GB38" i="37" s="1"/>
  <c r="GC38" i="37" s="1"/>
  <c r="GD38" i="37" s="1"/>
  <c r="GE38" i="37" s="1"/>
  <c r="GF38" i="37" s="1"/>
  <c r="GA25" i="37"/>
  <c r="GB25" i="37" s="1"/>
  <c r="GC25" i="37" s="1"/>
  <c r="GD25" i="37" s="1"/>
  <c r="GE25" i="37" s="1"/>
  <c r="GF25" i="37" s="1"/>
  <c r="GA19" i="37"/>
  <c r="GB19" i="37" s="1"/>
  <c r="GC19" i="37" s="1"/>
  <c r="GD19" i="37" s="1"/>
  <c r="GE19" i="37" s="1"/>
  <c r="GF19" i="37" s="1"/>
  <c r="FZ9" i="37"/>
  <c r="FY42" i="37"/>
  <c r="GA13" i="37"/>
  <c r="GB13" i="37" s="1"/>
  <c r="GC13" i="37" s="1"/>
  <c r="GD13" i="37" s="1"/>
  <c r="GE13" i="37" s="1"/>
  <c r="GF13" i="37" s="1"/>
  <c r="GA36" i="37"/>
  <c r="GB36" i="37" s="1"/>
  <c r="GC36" i="37" s="1"/>
  <c r="GD36" i="37" s="1"/>
  <c r="GE36" i="37" s="1"/>
  <c r="GF36" i="37" s="1"/>
  <c r="GA30" i="37"/>
  <c r="GB30" i="37" s="1"/>
  <c r="GC30" i="37" s="1"/>
  <c r="GD30" i="37" s="1"/>
  <c r="GE30" i="37" s="1"/>
  <c r="GF30" i="37" s="1"/>
  <c r="GA24" i="37"/>
  <c r="GB24" i="37" s="1"/>
  <c r="GC24" i="37" s="1"/>
  <c r="GD24" i="37" s="1"/>
  <c r="GE24" i="37" s="1"/>
  <c r="GF24" i="37" s="1"/>
  <c r="GA29" i="37"/>
  <c r="GB29" i="37" s="1"/>
  <c r="GC29" i="37" s="1"/>
  <c r="GD29" i="37" s="1"/>
  <c r="GE29" i="37" s="1"/>
  <c r="GF29" i="37" s="1"/>
  <c r="GA31" i="37"/>
  <c r="GB31" i="37" s="1"/>
  <c r="GC31" i="37" s="1"/>
  <c r="GD31" i="37" s="1"/>
  <c r="GE31" i="37" s="1"/>
  <c r="GF31" i="37" s="1"/>
  <c r="GA27" i="37"/>
  <c r="GB27" i="37" s="1"/>
  <c r="GC27" i="37" s="1"/>
  <c r="GD27" i="37" s="1"/>
  <c r="GE27" i="37" s="1"/>
  <c r="GF27" i="37" s="1"/>
  <c r="GA11" i="37"/>
  <c r="GB11" i="37" s="1"/>
  <c r="GC11" i="37" s="1"/>
  <c r="GD11" i="37" s="1"/>
  <c r="GE11" i="37" s="1"/>
  <c r="GF11" i="37" s="1"/>
  <c r="GA17" i="37"/>
  <c r="GB17" i="37" s="1"/>
  <c r="GC17" i="37" s="1"/>
  <c r="GD17" i="37" s="1"/>
  <c r="GE17" i="37" s="1"/>
  <c r="GF17" i="37" s="1"/>
  <c r="GA16" i="37"/>
  <c r="GB16" i="37" s="1"/>
  <c r="GC16" i="37" s="1"/>
  <c r="GD16" i="37" s="1"/>
  <c r="GE16" i="37" s="1"/>
  <c r="GF16" i="37" s="1"/>
  <c r="GA33" i="37"/>
  <c r="GB33" i="37" s="1"/>
  <c r="GC33" i="37" s="1"/>
  <c r="GD33" i="37" s="1"/>
  <c r="GE33" i="37" s="1"/>
  <c r="GF33" i="37" s="1"/>
  <c r="GA18" i="37"/>
  <c r="GB18" i="37" s="1"/>
  <c r="GC18" i="37" s="1"/>
  <c r="GD18" i="37" s="1"/>
  <c r="GE18" i="37" s="1"/>
  <c r="GF18" i="37" s="1"/>
  <c r="GA10" i="37"/>
  <c r="GB10" i="37" s="1"/>
  <c r="GC10" i="37" s="1"/>
  <c r="GD10" i="37" s="1"/>
  <c r="GE10" i="37" s="1"/>
  <c r="GF10" i="37" s="1"/>
  <c r="GA28" i="37"/>
  <c r="GB28" i="37" s="1"/>
  <c r="GC28" i="37" s="1"/>
  <c r="GD28" i="37" s="1"/>
  <c r="GE28" i="37" s="1"/>
  <c r="GF28" i="37" s="1"/>
  <c r="GA35" i="37"/>
  <c r="GB35" i="37" s="1"/>
  <c r="GC35" i="37" s="1"/>
  <c r="GD35" i="37" s="1"/>
  <c r="GE35" i="37" s="1"/>
  <c r="GF35" i="37" s="1"/>
  <c r="GA32" i="37"/>
  <c r="GB32" i="37" s="1"/>
  <c r="GC32" i="37" s="1"/>
  <c r="GD32" i="37" s="1"/>
  <c r="GE32" i="37" s="1"/>
  <c r="GF32" i="37" s="1"/>
  <c r="GA26" i="37"/>
  <c r="GB26" i="37" s="1"/>
  <c r="GC26" i="37" s="1"/>
  <c r="GD26" i="37" s="1"/>
  <c r="GE26" i="37" s="1"/>
  <c r="GF26" i="37" s="1"/>
  <c r="GA23" i="37"/>
  <c r="GB23" i="37" s="1"/>
  <c r="GC23" i="37" s="1"/>
  <c r="GD23" i="37" s="1"/>
  <c r="GE23" i="37" s="1"/>
  <c r="GF23" i="37" s="1"/>
  <c r="GA12" i="37"/>
  <c r="GB12" i="37" s="1"/>
  <c r="GC12" i="37" s="1"/>
  <c r="GD12" i="37" s="1"/>
  <c r="GE12" i="37" s="1"/>
  <c r="GF12" i="37" s="1"/>
  <c r="GA34" i="37"/>
  <c r="GB34" i="37" s="1"/>
  <c r="GC34" i="37" s="1"/>
  <c r="GD34" i="37" s="1"/>
  <c r="GE34" i="37" s="1"/>
  <c r="GF34" i="37" s="1"/>
  <c r="GA21" i="37"/>
  <c r="GB21" i="37" s="1"/>
  <c r="GC21" i="37" s="1"/>
  <c r="GD21" i="37" s="1"/>
  <c r="GE21" i="37" s="1"/>
  <c r="GF21" i="37" s="1"/>
  <c r="GA20" i="37"/>
  <c r="GB20" i="37" s="1"/>
  <c r="GC20" i="37" s="1"/>
  <c r="GD20" i="37" s="1"/>
  <c r="GE20" i="37" s="1"/>
  <c r="GF20" i="37" s="1"/>
  <c r="GA22" i="37"/>
  <c r="GB22" i="37" s="1"/>
  <c r="GC22" i="37" s="1"/>
  <c r="GD22" i="37" s="1"/>
  <c r="GE22" i="37" s="1"/>
  <c r="GF22" i="37" s="1"/>
  <c r="GA14" i="37"/>
  <c r="GB14" i="37" s="1"/>
  <c r="GC14" i="37" s="1"/>
  <c r="GD14" i="37" s="1"/>
  <c r="GE14" i="37" s="1"/>
  <c r="GF14" i="37" s="1"/>
  <c r="GA15" i="37"/>
  <c r="GB15" i="37" s="1"/>
  <c r="GC15" i="37" s="1"/>
  <c r="GD15" i="37" s="1"/>
  <c r="GE15" i="37" s="1"/>
  <c r="GF15" i="37" s="1"/>
  <c r="GA9" i="37" l="1"/>
  <c r="FZ42" i="37"/>
  <c r="GA42" i="37" l="1"/>
  <c r="GB9" i="37"/>
  <c r="GB42" i="37" l="1"/>
  <c r="GC9" i="37"/>
  <c r="GD9" i="37" s="1"/>
  <c r="GE9" i="37" l="1"/>
  <c r="GD42" i="37"/>
  <c r="GG38" i="37" l="1"/>
  <c r="GH38" i="37" s="1"/>
  <c r="GI38" i="37" s="1"/>
  <c r="GJ38" i="37" s="1"/>
  <c r="GK38" i="37" s="1"/>
  <c r="GL38" i="37" s="1"/>
  <c r="GG37" i="37"/>
  <c r="GH37" i="37" s="1"/>
  <c r="GI37" i="37" s="1"/>
  <c r="GJ37" i="37" s="1"/>
  <c r="GK37" i="37" s="1"/>
  <c r="GL37" i="37" s="1"/>
  <c r="GG39" i="37"/>
  <c r="GH39" i="37" s="1"/>
  <c r="GI39" i="37" s="1"/>
  <c r="GJ39" i="37" s="1"/>
  <c r="GK39" i="37" s="1"/>
  <c r="GL39" i="37" s="1"/>
  <c r="GG19" i="37"/>
  <c r="GH19" i="37" s="1"/>
  <c r="GI19" i="37" s="1"/>
  <c r="GJ19" i="37" s="1"/>
  <c r="GK19" i="37" s="1"/>
  <c r="GL19" i="37" s="1"/>
  <c r="GG25" i="37"/>
  <c r="GH25" i="37" s="1"/>
  <c r="GI25" i="37" s="1"/>
  <c r="GJ25" i="37" s="1"/>
  <c r="GK25" i="37" s="1"/>
  <c r="GL25" i="37" s="1"/>
  <c r="GG20" i="37"/>
  <c r="GH20" i="37" s="1"/>
  <c r="GI20" i="37" s="1"/>
  <c r="GJ20" i="37" s="1"/>
  <c r="GK20" i="37" s="1"/>
  <c r="GL20" i="37" s="1"/>
  <c r="GG31" i="37"/>
  <c r="GH31" i="37" s="1"/>
  <c r="GI31" i="37" s="1"/>
  <c r="GJ31" i="37" s="1"/>
  <c r="GK31" i="37" s="1"/>
  <c r="GL31" i="37" s="1"/>
  <c r="GG10" i="37"/>
  <c r="GH10" i="37" s="1"/>
  <c r="GI10" i="37" s="1"/>
  <c r="GJ10" i="37" s="1"/>
  <c r="GK10" i="37" s="1"/>
  <c r="GL10" i="37" s="1"/>
  <c r="GG15" i="37"/>
  <c r="GH15" i="37" s="1"/>
  <c r="GI15" i="37" s="1"/>
  <c r="GJ15" i="37" s="1"/>
  <c r="GK15" i="37" s="1"/>
  <c r="GL15" i="37" s="1"/>
  <c r="GG18" i="37"/>
  <c r="GH18" i="37" s="1"/>
  <c r="GI18" i="37" s="1"/>
  <c r="GJ18" i="37" s="1"/>
  <c r="GK18" i="37" s="1"/>
  <c r="GL18" i="37" s="1"/>
  <c r="GG12" i="37"/>
  <c r="GH12" i="37" s="1"/>
  <c r="GI12" i="37" s="1"/>
  <c r="GJ12" i="37" s="1"/>
  <c r="GK12" i="37" s="1"/>
  <c r="GL12" i="37" s="1"/>
  <c r="GG30" i="37"/>
  <c r="GH30" i="37" s="1"/>
  <c r="GI30" i="37" s="1"/>
  <c r="GJ30" i="37" s="1"/>
  <c r="GK30" i="37" s="1"/>
  <c r="GL30" i="37" s="1"/>
  <c r="GG23" i="37"/>
  <c r="GH23" i="37" s="1"/>
  <c r="GI23" i="37" s="1"/>
  <c r="GJ23" i="37" s="1"/>
  <c r="GK23" i="37" s="1"/>
  <c r="GL23" i="37" s="1"/>
  <c r="GG36" i="37"/>
  <c r="GH36" i="37" s="1"/>
  <c r="GI36" i="37" s="1"/>
  <c r="GJ36" i="37" s="1"/>
  <c r="GK36" i="37" s="1"/>
  <c r="GL36" i="37" s="1"/>
  <c r="GG17" i="37"/>
  <c r="GH17" i="37" s="1"/>
  <c r="GI17" i="37" s="1"/>
  <c r="GJ17" i="37" s="1"/>
  <c r="GK17" i="37" s="1"/>
  <c r="GL17" i="37" s="1"/>
  <c r="GG14" i="37"/>
  <c r="GH14" i="37" s="1"/>
  <c r="GI14" i="37" s="1"/>
  <c r="GJ14" i="37" s="1"/>
  <c r="GK14" i="37" s="1"/>
  <c r="GL14" i="37" s="1"/>
  <c r="GG11" i="37"/>
  <c r="GH11" i="37" s="1"/>
  <c r="GI11" i="37" s="1"/>
  <c r="GJ11" i="37" s="1"/>
  <c r="GK11" i="37" s="1"/>
  <c r="GL11" i="37" s="1"/>
  <c r="GG35" i="37"/>
  <c r="GH35" i="37" s="1"/>
  <c r="GI35" i="37" s="1"/>
  <c r="GJ35" i="37" s="1"/>
  <c r="GK35" i="37" s="1"/>
  <c r="GL35" i="37" s="1"/>
  <c r="GG33" i="37"/>
  <c r="GH33" i="37" s="1"/>
  <c r="GI33" i="37" s="1"/>
  <c r="GJ33" i="37" s="1"/>
  <c r="GK33" i="37" s="1"/>
  <c r="GL33" i="37" s="1"/>
  <c r="GG28" i="37"/>
  <c r="GH28" i="37" s="1"/>
  <c r="GI28" i="37" s="1"/>
  <c r="GJ28" i="37" s="1"/>
  <c r="GK28" i="37" s="1"/>
  <c r="GL28" i="37" s="1"/>
  <c r="GG21" i="37"/>
  <c r="GH21" i="37" s="1"/>
  <c r="GI21" i="37" s="1"/>
  <c r="GJ21" i="37" s="1"/>
  <c r="GK21" i="37" s="1"/>
  <c r="GL21" i="37" s="1"/>
  <c r="GG29" i="37"/>
  <c r="GH29" i="37" s="1"/>
  <c r="GI29" i="37" s="1"/>
  <c r="GJ29" i="37" s="1"/>
  <c r="GK29" i="37" s="1"/>
  <c r="GL29" i="37" s="1"/>
  <c r="GG34" i="37"/>
  <c r="GH34" i="37" s="1"/>
  <c r="GI34" i="37" s="1"/>
  <c r="GJ34" i="37" s="1"/>
  <c r="GK34" i="37" s="1"/>
  <c r="GL34" i="37" s="1"/>
  <c r="GG24" i="37"/>
  <c r="GH24" i="37" s="1"/>
  <c r="GI24" i="37" s="1"/>
  <c r="GJ24" i="37" s="1"/>
  <c r="GK24" i="37" s="1"/>
  <c r="GL24" i="37" s="1"/>
  <c r="GG16" i="37"/>
  <c r="GH16" i="37" s="1"/>
  <c r="GI16" i="37" s="1"/>
  <c r="GJ16" i="37" s="1"/>
  <c r="GK16" i="37" s="1"/>
  <c r="GL16" i="37" s="1"/>
  <c r="GG26" i="37"/>
  <c r="GH26" i="37" s="1"/>
  <c r="GI26" i="37" s="1"/>
  <c r="GJ26" i="37" s="1"/>
  <c r="GK26" i="37" s="1"/>
  <c r="GL26" i="37" s="1"/>
  <c r="GG13" i="37"/>
  <c r="GH13" i="37" s="1"/>
  <c r="GI13" i="37" s="1"/>
  <c r="GJ13" i="37" s="1"/>
  <c r="GK13" i="37" s="1"/>
  <c r="GL13" i="37" s="1"/>
  <c r="GG32" i="37"/>
  <c r="GH32" i="37" s="1"/>
  <c r="GI32" i="37" s="1"/>
  <c r="GJ32" i="37" s="1"/>
  <c r="GK32" i="37" s="1"/>
  <c r="GL32" i="37" s="1"/>
  <c r="GG22" i="37"/>
  <c r="GH22" i="37" s="1"/>
  <c r="GI22" i="37" s="1"/>
  <c r="GJ22" i="37" s="1"/>
  <c r="GK22" i="37" s="1"/>
  <c r="GL22" i="37" s="1"/>
  <c r="GG27" i="37"/>
  <c r="GH27" i="37" s="1"/>
  <c r="GI27" i="37" s="1"/>
  <c r="GJ27" i="37" s="1"/>
  <c r="GK27" i="37" s="1"/>
  <c r="GL27" i="37" s="1"/>
  <c r="GE42" i="37"/>
  <c r="GF9" i="37"/>
  <c r="GG9" i="37" l="1"/>
  <c r="GF42" i="37"/>
  <c r="GG42" i="37" l="1"/>
  <c r="GH9" i="37"/>
  <c r="GH42" i="37" l="1"/>
  <c r="GI9" i="37"/>
  <c r="GJ9" i="37" s="1"/>
  <c r="GJ42" i="37" l="1"/>
  <c r="GK9" i="37"/>
  <c r="GM39" i="37" l="1"/>
  <c r="GN39" i="37" s="1"/>
  <c r="GO39" i="37" s="1"/>
  <c r="GP39" i="37" s="1"/>
  <c r="GQ39" i="37" s="1"/>
  <c r="GR39" i="37" s="1"/>
  <c r="GM37" i="37"/>
  <c r="GN37" i="37" s="1"/>
  <c r="GO37" i="37" s="1"/>
  <c r="GP37" i="37" s="1"/>
  <c r="GQ37" i="37" s="1"/>
  <c r="GR37" i="37" s="1"/>
  <c r="GM38" i="37"/>
  <c r="GN38" i="37" s="1"/>
  <c r="GO38" i="37" s="1"/>
  <c r="GP38" i="37" s="1"/>
  <c r="GQ38" i="37" s="1"/>
  <c r="GR38" i="37" s="1"/>
  <c r="GM25" i="37"/>
  <c r="GN25" i="37" s="1"/>
  <c r="GO25" i="37" s="1"/>
  <c r="GP25" i="37" s="1"/>
  <c r="GQ25" i="37" s="1"/>
  <c r="GR25" i="37" s="1"/>
  <c r="GM19" i="37"/>
  <c r="GN19" i="37" s="1"/>
  <c r="GO19" i="37" s="1"/>
  <c r="GP19" i="37" s="1"/>
  <c r="GQ19" i="37" s="1"/>
  <c r="GR19" i="37" s="1"/>
  <c r="GL9" i="37"/>
  <c r="GK42" i="37"/>
  <c r="GM22" i="37"/>
  <c r="GN22" i="37" s="1"/>
  <c r="GO22" i="37" s="1"/>
  <c r="GP22" i="37" s="1"/>
  <c r="GQ22" i="37" s="1"/>
  <c r="GR22" i="37" s="1"/>
  <c r="GM23" i="37"/>
  <c r="GN23" i="37" s="1"/>
  <c r="GO23" i="37" s="1"/>
  <c r="GP23" i="37" s="1"/>
  <c r="GQ23" i="37" s="1"/>
  <c r="GR23" i="37" s="1"/>
  <c r="GM14" i="37"/>
  <c r="GN14" i="37" s="1"/>
  <c r="GO14" i="37" s="1"/>
  <c r="GP14" i="37" s="1"/>
  <c r="GQ14" i="37" s="1"/>
  <c r="GR14" i="37" s="1"/>
  <c r="GM34" i="37"/>
  <c r="GN34" i="37" s="1"/>
  <c r="GO34" i="37" s="1"/>
  <c r="GP34" i="37" s="1"/>
  <c r="GQ34" i="37" s="1"/>
  <c r="GR34" i="37" s="1"/>
  <c r="GM31" i="37"/>
  <c r="GN31" i="37" s="1"/>
  <c r="GO31" i="37" s="1"/>
  <c r="GP31" i="37" s="1"/>
  <c r="GQ31" i="37" s="1"/>
  <c r="GR31" i="37" s="1"/>
  <c r="GM36" i="37"/>
  <c r="GN36" i="37" s="1"/>
  <c r="GO36" i="37" s="1"/>
  <c r="GP36" i="37" s="1"/>
  <c r="GQ36" i="37" s="1"/>
  <c r="GR36" i="37" s="1"/>
  <c r="GM20" i="37"/>
  <c r="GN20" i="37" s="1"/>
  <c r="GO20" i="37" s="1"/>
  <c r="GP20" i="37" s="1"/>
  <c r="GQ20" i="37" s="1"/>
  <c r="GR20" i="37" s="1"/>
  <c r="GM12" i="37"/>
  <c r="GN12" i="37" s="1"/>
  <c r="GO12" i="37" s="1"/>
  <c r="GP12" i="37" s="1"/>
  <c r="GQ12" i="37" s="1"/>
  <c r="GR12" i="37" s="1"/>
  <c r="GM16" i="37"/>
  <c r="GN16" i="37" s="1"/>
  <c r="GO16" i="37" s="1"/>
  <c r="GP16" i="37" s="1"/>
  <c r="GQ16" i="37" s="1"/>
  <c r="GR16" i="37" s="1"/>
  <c r="GM15" i="37"/>
  <c r="GN15" i="37" s="1"/>
  <c r="GO15" i="37" s="1"/>
  <c r="GP15" i="37" s="1"/>
  <c r="GQ15" i="37" s="1"/>
  <c r="GR15" i="37" s="1"/>
  <c r="GM32" i="37"/>
  <c r="GN32" i="37" s="1"/>
  <c r="GO32" i="37" s="1"/>
  <c r="GP32" i="37" s="1"/>
  <c r="GQ32" i="37" s="1"/>
  <c r="GR32" i="37" s="1"/>
  <c r="GM30" i="37"/>
  <c r="GN30" i="37" s="1"/>
  <c r="GO30" i="37" s="1"/>
  <c r="GP30" i="37" s="1"/>
  <c r="GQ30" i="37" s="1"/>
  <c r="GR30" i="37" s="1"/>
  <c r="GM33" i="37"/>
  <c r="GN33" i="37" s="1"/>
  <c r="GO33" i="37" s="1"/>
  <c r="GP33" i="37" s="1"/>
  <c r="GQ33" i="37" s="1"/>
  <c r="GR33" i="37" s="1"/>
  <c r="GM26" i="37"/>
  <c r="GN26" i="37" s="1"/>
  <c r="GO26" i="37" s="1"/>
  <c r="GP26" i="37" s="1"/>
  <c r="GQ26" i="37" s="1"/>
  <c r="GR26" i="37" s="1"/>
  <c r="GM18" i="37"/>
  <c r="GN18" i="37" s="1"/>
  <c r="GO18" i="37" s="1"/>
  <c r="GP18" i="37" s="1"/>
  <c r="GQ18" i="37" s="1"/>
  <c r="GR18" i="37" s="1"/>
  <c r="GM13" i="37"/>
  <c r="GN13" i="37" s="1"/>
  <c r="GO13" i="37" s="1"/>
  <c r="GP13" i="37" s="1"/>
  <c r="GQ13" i="37" s="1"/>
  <c r="GR13" i="37" s="1"/>
  <c r="GM21" i="37"/>
  <c r="GN21" i="37" s="1"/>
  <c r="GO21" i="37" s="1"/>
  <c r="GP21" i="37" s="1"/>
  <c r="GQ21" i="37" s="1"/>
  <c r="GR21" i="37" s="1"/>
  <c r="GM27" i="37"/>
  <c r="GN27" i="37" s="1"/>
  <c r="GO27" i="37" s="1"/>
  <c r="GP27" i="37" s="1"/>
  <c r="GQ27" i="37" s="1"/>
  <c r="GR27" i="37" s="1"/>
  <c r="GM24" i="37"/>
  <c r="GN24" i="37" s="1"/>
  <c r="GO24" i="37" s="1"/>
  <c r="GP24" i="37" s="1"/>
  <c r="GQ24" i="37" s="1"/>
  <c r="GR24" i="37" s="1"/>
  <c r="GM10" i="37"/>
  <c r="GN10" i="37" s="1"/>
  <c r="GO10" i="37" s="1"/>
  <c r="GP10" i="37" s="1"/>
  <c r="GQ10" i="37" s="1"/>
  <c r="GR10" i="37" s="1"/>
  <c r="GM17" i="37"/>
  <c r="GN17" i="37" s="1"/>
  <c r="GO17" i="37" s="1"/>
  <c r="GP17" i="37" s="1"/>
  <c r="GQ17" i="37" s="1"/>
  <c r="GR17" i="37" s="1"/>
  <c r="GM29" i="37"/>
  <c r="GN29" i="37" s="1"/>
  <c r="GO29" i="37" s="1"/>
  <c r="GP29" i="37" s="1"/>
  <c r="GQ29" i="37" s="1"/>
  <c r="GR29" i="37" s="1"/>
  <c r="GM35" i="37"/>
  <c r="GN35" i="37" s="1"/>
  <c r="GO35" i="37" s="1"/>
  <c r="GP35" i="37" s="1"/>
  <c r="GQ35" i="37" s="1"/>
  <c r="GR35" i="37" s="1"/>
  <c r="GM11" i="37"/>
  <c r="GN11" i="37" s="1"/>
  <c r="GO11" i="37" s="1"/>
  <c r="GP11" i="37" s="1"/>
  <c r="GQ11" i="37" s="1"/>
  <c r="GR11" i="37" s="1"/>
  <c r="GM28" i="37"/>
  <c r="GN28" i="37" s="1"/>
  <c r="GO28" i="37" s="1"/>
  <c r="GP28" i="37" s="1"/>
  <c r="GQ28" i="37" s="1"/>
  <c r="GR28" i="37" s="1"/>
  <c r="GM9" i="37" l="1"/>
  <c r="GL42" i="37"/>
  <c r="GM42" i="37" l="1"/>
  <c r="GN9" i="37"/>
  <c r="GN42" i="37" l="1"/>
  <c r="GO9" i="37"/>
  <c r="GP9" i="37" s="1"/>
  <c r="GP42" i="37" l="1"/>
  <c r="GQ9" i="37"/>
  <c r="GS38" i="37" l="1"/>
  <c r="GT38" i="37" s="1"/>
  <c r="GU38" i="37" s="1"/>
  <c r="GV38" i="37" s="1"/>
  <c r="GW38" i="37" s="1"/>
  <c r="GX38" i="37" s="1"/>
  <c r="GS37" i="37"/>
  <c r="GT37" i="37" s="1"/>
  <c r="GU37" i="37" s="1"/>
  <c r="GV37" i="37" s="1"/>
  <c r="GW37" i="37" s="1"/>
  <c r="GX37" i="37" s="1"/>
  <c r="GS39" i="37"/>
  <c r="GT39" i="37" s="1"/>
  <c r="GU39" i="37" s="1"/>
  <c r="GV39" i="37" s="1"/>
  <c r="GW39" i="37" s="1"/>
  <c r="GX39" i="37" s="1"/>
  <c r="GS19" i="37"/>
  <c r="GT19" i="37" s="1"/>
  <c r="GU19" i="37" s="1"/>
  <c r="GV19" i="37" s="1"/>
  <c r="GW19" i="37" s="1"/>
  <c r="GX19" i="37" s="1"/>
  <c r="GS25" i="37"/>
  <c r="GT25" i="37" s="1"/>
  <c r="GU25" i="37" s="1"/>
  <c r="GV25" i="37" s="1"/>
  <c r="GW25" i="37" s="1"/>
  <c r="GX25" i="37" s="1"/>
  <c r="GR9" i="37"/>
  <c r="GQ42" i="37"/>
  <c r="GS29" i="37"/>
  <c r="GT29" i="37" s="1"/>
  <c r="GU29" i="37" s="1"/>
  <c r="GV29" i="37" s="1"/>
  <c r="GW29" i="37" s="1"/>
  <c r="GX29" i="37" s="1"/>
  <c r="GS36" i="37"/>
  <c r="GT36" i="37" s="1"/>
  <c r="GU36" i="37" s="1"/>
  <c r="GV36" i="37" s="1"/>
  <c r="GW36" i="37" s="1"/>
  <c r="GX36" i="37" s="1"/>
  <c r="GS33" i="37"/>
  <c r="GT33" i="37" s="1"/>
  <c r="GU33" i="37" s="1"/>
  <c r="GV33" i="37" s="1"/>
  <c r="GW33" i="37" s="1"/>
  <c r="GX33" i="37" s="1"/>
  <c r="GS11" i="37"/>
  <c r="GT11" i="37" s="1"/>
  <c r="GU11" i="37" s="1"/>
  <c r="GV11" i="37" s="1"/>
  <c r="GW11" i="37" s="1"/>
  <c r="GX11" i="37" s="1"/>
  <c r="GS12" i="37"/>
  <c r="GT12" i="37" s="1"/>
  <c r="GU12" i="37" s="1"/>
  <c r="GV12" i="37" s="1"/>
  <c r="GW12" i="37" s="1"/>
  <c r="GX12" i="37" s="1"/>
  <c r="GS24" i="37"/>
  <c r="GT24" i="37" s="1"/>
  <c r="GU24" i="37" s="1"/>
  <c r="GV24" i="37" s="1"/>
  <c r="GW24" i="37" s="1"/>
  <c r="GX24" i="37" s="1"/>
  <c r="GS14" i="37"/>
  <c r="GT14" i="37" s="1"/>
  <c r="GU14" i="37" s="1"/>
  <c r="GV14" i="37" s="1"/>
  <c r="GW14" i="37" s="1"/>
  <c r="GX14" i="37" s="1"/>
  <c r="GS27" i="37"/>
  <c r="GT27" i="37" s="1"/>
  <c r="GU27" i="37" s="1"/>
  <c r="GV27" i="37" s="1"/>
  <c r="GW27" i="37" s="1"/>
  <c r="GX27" i="37" s="1"/>
  <c r="GS23" i="37"/>
  <c r="GT23" i="37" s="1"/>
  <c r="GU23" i="37" s="1"/>
  <c r="GV23" i="37" s="1"/>
  <c r="GW23" i="37" s="1"/>
  <c r="GX23" i="37" s="1"/>
  <c r="GS16" i="37"/>
  <c r="GT16" i="37" s="1"/>
  <c r="GU16" i="37" s="1"/>
  <c r="GV16" i="37" s="1"/>
  <c r="GW16" i="37" s="1"/>
  <c r="GX16" i="37" s="1"/>
  <c r="GS10" i="37"/>
  <c r="GT10" i="37" s="1"/>
  <c r="GU10" i="37" s="1"/>
  <c r="GV10" i="37" s="1"/>
  <c r="GW10" i="37" s="1"/>
  <c r="GX10" i="37" s="1"/>
  <c r="GS34" i="37"/>
  <c r="GT34" i="37" s="1"/>
  <c r="GU34" i="37" s="1"/>
  <c r="GV34" i="37" s="1"/>
  <c r="GW34" i="37" s="1"/>
  <c r="GX34" i="37" s="1"/>
  <c r="GS18" i="37"/>
  <c r="GT18" i="37" s="1"/>
  <c r="GU18" i="37" s="1"/>
  <c r="GV18" i="37" s="1"/>
  <c r="GW18" i="37" s="1"/>
  <c r="GX18" i="37" s="1"/>
  <c r="GS26" i="37"/>
  <c r="GT26" i="37" s="1"/>
  <c r="GU26" i="37" s="1"/>
  <c r="GV26" i="37" s="1"/>
  <c r="GW26" i="37" s="1"/>
  <c r="GX26" i="37" s="1"/>
  <c r="GS17" i="37"/>
  <c r="GT17" i="37" s="1"/>
  <c r="GU17" i="37" s="1"/>
  <c r="GV17" i="37" s="1"/>
  <c r="GW17" i="37" s="1"/>
  <c r="GX17" i="37" s="1"/>
  <c r="GS31" i="37"/>
  <c r="GT31" i="37" s="1"/>
  <c r="GU31" i="37" s="1"/>
  <c r="GV31" i="37" s="1"/>
  <c r="GW31" i="37" s="1"/>
  <c r="GX31" i="37" s="1"/>
  <c r="GS13" i="37"/>
  <c r="GT13" i="37" s="1"/>
  <c r="GU13" i="37" s="1"/>
  <c r="GV13" i="37" s="1"/>
  <c r="GW13" i="37" s="1"/>
  <c r="GX13" i="37" s="1"/>
  <c r="GS28" i="37"/>
  <c r="GT28" i="37" s="1"/>
  <c r="GU28" i="37" s="1"/>
  <c r="GV28" i="37" s="1"/>
  <c r="GW28" i="37" s="1"/>
  <c r="GX28" i="37" s="1"/>
  <c r="GS32" i="37"/>
  <c r="GT32" i="37" s="1"/>
  <c r="GU32" i="37" s="1"/>
  <c r="GV32" i="37" s="1"/>
  <c r="GW32" i="37" s="1"/>
  <c r="GX32" i="37" s="1"/>
  <c r="GS15" i="37"/>
  <c r="GT15" i="37" s="1"/>
  <c r="GU15" i="37" s="1"/>
  <c r="GV15" i="37" s="1"/>
  <c r="GW15" i="37" s="1"/>
  <c r="GX15" i="37" s="1"/>
  <c r="GS21" i="37"/>
  <c r="GT21" i="37" s="1"/>
  <c r="GU21" i="37" s="1"/>
  <c r="GV21" i="37" s="1"/>
  <c r="GW21" i="37" s="1"/>
  <c r="GX21" i="37" s="1"/>
  <c r="GS22" i="37"/>
  <c r="GT22" i="37" s="1"/>
  <c r="GU22" i="37" s="1"/>
  <c r="GV22" i="37" s="1"/>
  <c r="GW22" i="37" s="1"/>
  <c r="GX22" i="37" s="1"/>
  <c r="GS30" i="37"/>
  <c r="GT30" i="37" s="1"/>
  <c r="GU30" i="37" s="1"/>
  <c r="GV30" i="37" s="1"/>
  <c r="GW30" i="37" s="1"/>
  <c r="GX30" i="37" s="1"/>
  <c r="GS35" i="37"/>
  <c r="GT35" i="37" s="1"/>
  <c r="GU35" i="37" s="1"/>
  <c r="GV35" i="37" s="1"/>
  <c r="GW35" i="37" s="1"/>
  <c r="GX35" i="37" s="1"/>
  <c r="GS20" i="37"/>
  <c r="GT20" i="37" s="1"/>
  <c r="GU20" i="37" s="1"/>
  <c r="GV20" i="37" s="1"/>
  <c r="GW20" i="37" s="1"/>
  <c r="GX20" i="37" s="1"/>
  <c r="GS9" i="37" l="1"/>
  <c r="GR42" i="37"/>
  <c r="GT9" i="37" l="1"/>
  <c r="GS42" i="37"/>
  <c r="GT42" i="37" l="1"/>
  <c r="GU9" i="37"/>
  <c r="GV9" i="37" s="1"/>
  <c r="GV42" i="37" l="1"/>
  <c r="GW9" i="37"/>
  <c r="GY39" i="37" l="1"/>
  <c r="GZ39" i="37" s="1"/>
  <c r="GY37" i="37"/>
  <c r="GZ37" i="37" s="1"/>
  <c r="GY38" i="37"/>
  <c r="GZ38" i="37" s="1"/>
  <c r="GY25" i="37"/>
  <c r="GZ25" i="37" s="1"/>
  <c r="GY19" i="37"/>
  <c r="GZ19" i="37" s="1"/>
  <c r="GW42" i="37"/>
  <c r="GX9" i="37"/>
  <c r="GY22" i="37"/>
  <c r="GZ22" i="37" s="1"/>
  <c r="GY24" i="37"/>
  <c r="GZ24" i="37" s="1"/>
  <c r="GY18" i="37"/>
  <c r="GZ18" i="37" s="1"/>
  <c r="GY35" i="37"/>
  <c r="GZ35" i="37" s="1"/>
  <c r="GY27" i="37"/>
  <c r="GZ27" i="37" s="1"/>
  <c r="GY32" i="37"/>
  <c r="GZ32" i="37" s="1"/>
  <c r="GY33" i="37"/>
  <c r="GZ33" i="37" s="1"/>
  <c r="GY10" i="37"/>
  <c r="GZ10" i="37" s="1"/>
  <c r="GY14" i="37"/>
  <c r="GZ14" i="37" s="1"/>
  <c r="GY28" i="37"/>
  <c r="GZ28" i="37" s="1"/>
  <c r="GY36" i="37"/>
  <c r="GZ36" i="37" s="1"/>
  <c r="GY23" i="37"/>
  <c r="GZ23" i="37" s="1"/>
  <c r="GY15" i="37"/>
  <c r="GZ15" i="37" s="1"/>
  <c r="GY11" i="37"/>
  <c r="GZ11" i="37" s="1"/>
  <c r="GY17" i="37"/>
  <c r="GZ17" i="37" s="1"/>
  <c r="GY26" i="37"/>
  <c r="GZ26" i="37" s="1"/>
  <c r="GY21" i="37"/>
  <c r="GZ21" i="37" s="1"/>
  <c r="GY12" i="37"/>
  <c r="GZ12" i="37" s="1"/>
  <c r="GY31" i="37"/>
  <c r="GZ31" i="37" s="1"/>
  <c r="GY20" i="37"/>
  <c r="GZ20" i="37" s="1"/>
  <c r="GY16" i="37"/>
  <c r="GZ16" i="37" s="1"/>
  <c r="GY13" i="37"/>
  <c r="GZ13" i="37" s="1"/>
  <c r="GY29" i="37"/>
  <c r="GZ29" i="37" s="1"/>
  <c r="GY34" i="37"/>
  <c r="GZ34" i="37" s="1"/>
  <c r="GY30" i="37"/>
  <c r="GZ30" i="37" s="1"/>
  <c r="HC38" i="37" l="1"/>
  <c r="HD38" i="37" s="1"/>
  <c r="HB38" i="37" s="1"/>
  <c r="HA38" i="37"/>
  <c r="D35" i="36" s="1"/>
  <c r="G35" i="36" s="1"/>
  <c r="HC37" i="37"/>
  <c r="HD37" i="37" s="1"/>
  <c r="HB37" i="37" s="1"/>
  <c r="HA37" i="37"/>
  <c r="D34" i="36" s="1"/>
  <c r="G34" i="36" s="1"/>
  <c r="HC39" i="37"/>
  <c r="HD39" i="37" s="1"/>
  <c r="HB39" i="37" s="1"/>
  <c r="HA39" i="37"/>
  <c r="D36" i="36" s="1"/>
  <c r="G36" i="36" s="1"/>
  <c r="HC19" i="37"/>
  <c r="HD19" i="37" s="1"/>
  <c r="HB19" i="37" s="1"/>
  <c r="HA19" i="37"/>
  <c r="D16" i="36" s="1"/>
  <c r="HC25" i="37"/>
  <c r="HD25" i="37" s="1"/>
  <c r="HB25" i="37" s="1"/>
  <c r="HA25" i="37"/>
  <c r="D22" i="36" s="1"/>
  <c r="HC13" i="37"/>
  <c r="HD13" i="37" s="1"/>
  <c r="HB13" i="37" s="1"/>
  <c r="HA13" i="37"/>
  <c r="D10" i="36" s="1"/>
  <c r="HC12" i="37"/>
  <c r="HD12" i="37" s="1"/>
  <c r="HB12" i="37" s="1"/>
  <c r="HA12" i="37"/>
  <c r="D9" i="36" s="1"/>
  <c r="HC11" i="37"/>
  <c r="HD11" i="37" s="1"/>
  <c r="HB11" i="37" s="1"/>
  <c r="HA11" i="37"/>
  <c r="D8" i="36" s="1"/>
  <c r="HC28" i="37"/>
  <c r="HD28" i="37" s="1"/>
  <c r="HB28" i="37" s="1"/>
  <c r="HA28" i="37"/>
  <c r="D25" i="36" s="1"/>
  <c r="HC32" i="37"/>
  <c r="HD32" i="37" s="1"/>
  <c r="HB32" i="37" s="1"/>
  <c r="HA32" i="37"/>
  <c r="D29" i="36" s="1"/>
  <c r="HC24" i="37"/>
  <c r="HD24" i="37" s="1"/>
  <c r="HB24" i="37" s="1"/>
  <c r="HA24" i="37"/>
  <c r="D21" i="36" s="1"/>
  <c r="HC16" i="37"/>
  <c r="HD16" i="37" s="1"/>
  <c r="HB16" i="37" s="1"/>
  <c r="HA16" i="37"/>
  <c r="D13" i="36" s="1"/>
  <c r="HC21" i="37"/>
  <c r="HD21" i="37" s="1"/>
  <c r="HB21" i="37" s="1"/>
  <c r="HA21" i="37"/>
  <c r="D18" i="36" s="1"/>
  <c r="HC15" i="37"/>
  <c r="HD15" i="37" s="1"/>
  <c r="HB15" i="37" s="1"/>
  <c r="HA15" i="37"/>
  <c r="D12" i="36" s="1"/>
  <c r="HC14" i="37"/>
  <c r="HD14" i="37" s="1"/>
  <c r="HB14" i="37" s="1"/>
  <c r="HA14" i="37"/>
  <c r="D11" i="36" s="1"/>
  <c r="HC27" i="37"/>
  <c r="HD27" i="37" s="1"/>
  <c r="HB27" i="37" s="1"/>
  <c r="HA27" i="37"/>
  <c r="D24" i="36" s="1"/>
  <c r="HC22" i="37"/>
  <c r="HD22" i="37" s="1"/>
  <c r="HB22" i="37" s="1"/>
  <c r="HA22" i="37"/>
  <c r="D19" i="36" s="1"/>
  <c r="HC34" i="37"/>
  <c r="HD34" i="37" s="1"/>
  <c r="HB34" i="37" s="1"/>
  <c r="HA34" i="37"/>
  <c r="D31" i="36" s="1"/>
  <c r="HC20" i="37"/>
  <c r="HD20" i="37" s="1"/>
  <c r="HB20" i="37" s="1"/>
  <c r="HA20" i="37"/>
  <c r="D17" i="36" s="1"/>
  <c r="HC26" i="37"/>
  <c r="HD26" i="37" s="1"/>
  <c r="HB26" i="37" s="1"/>
  <c r="HA26" i="37"/>
  <c r="D23" i="36" s="1"/>
  <c r="HC23" i="37"/>
  <c r="HD23" i="37" s="1"/>
  <c r="HB23" i="37" s="1"/>
  <c r="HA23" i="37"/>
  <c r="D20" i="36" s="1"/>
  <c r="HC10" i="37"/>
  <c r="HD10" i="37" s="1"/>
  <c r="HB10" i="37" s="1"/>
  <c r="HA10" i="37"/>
  <c r="D7" i="36" s="1"/>
  <c r="HC35" i="37"/>
  <c r="HD35" i="37" s="1"/>
  <c r="HB35" i="37" s="1"/>
  <c r="HA35" i="37"/>
  <c r="D32" i="36" s="1"/>
  <c r="GY9" i="37"/>
  <c r="GX42" i="37"/>
  <c r="HC30" i="37"/>
  <c r="HD30" i="37" s="1"/>
  <c r="HB30" i="37" s="1"/>
  <c r="HA30" i="37"/>
  <c r="D27" i="36" s="1"/>
  <c r="HC29" i="37"/>
  <c r="HD29" i="37" s="1"/>
  <c r="HB29" i="37" s="1"/>
  <c r="HA29" i="37"/>
  <c r="D26" i="36" s="1"/>
  <c r="HC31" i="37"/>
  <c r="HD31" i="37" s="1"/>
  <c r="HB31" i="37" s="1"/>
  <c r="HA31" i="37"/>
  <c r="D28" i="36" s="1"/>
  <c r="HC17" i="37"/>
  <c r="HD17" i="37" s="1"/>
  <c r="HB17" i="37" s="1"/>
  <c r="HA17" i="37"/>
  <c r="D14" i="36" s="1"/>
  <c r="HC36" i="37"/>
  <c r="HD36" i="37" s="1"/>
  <c r="HB36" i="37" s="1"/>
  <c r="HA36" i="37"/>
  <c r="D33" i="36" s="1"/>
  <c r="HC33" i="37"/>
  <c r="HD33" i="37" s="1"/>
  <c r="HB33" i="37" s="1"/>
  <c r="HA33" i="37"/>
  <c r="D30" i="36" s="1"/>
  <c r="HC18" i="37"/>
  <c r="HD18" i="37" s="1"/>
  <c r="HB18" i="37" s="1"/>
  <c r="HA18" i="37"/>
  <c r="D15" i="36" s="1"/>
  <c r="G22" i="36" l="1"/>
  <c r="G16" i="36"/>
  <c r="G15" i="36"/>
  <c r="G33" i="36"/>
  <c r="G28" i="36"/>
  <c r="G27" i="36"/>
  <c r="G32" i="36"/>
  <c r="G20" i="36"/>
  <c r="G17" i="36"/>
  <c r="G19" i="36"/>
  <c r="G11" i="36"/>
  <c r="G18" i="36"/>
  <c r="G21" i="36"/>
  <c r="G25" i="36"/>
  <c r="G9" i="36"/>
  <c r="G30" i="36"/>
  <c r="G14" i="36"/>
  <c r="G26" i="36"/>
  <c r="G7" i="36"/>
  <c r="G23" i="36"/>
  <c r="G31" i="36"/>
  <c r="G24" i="36"/>
  <c r="G12" i="36"/>
  <c r="G13" i="36"/>
  <c r="G29" i="36"/>
  <c r="G8" i="36"/>
  <c r="G10" i="36"/>
  <c r="H10" i="36" s="1"/>
  <c r="GZ9" i="37"/>
  <c r="GY42" i="37"/>
  <c r="GZ42" i="37" l="1"/>
  <c r="HC9" i="37"/>
  <c r="HD9" i="37" s="1"/>
  <c r="HA9" i="37"/>
  <c r="HD42" i="37" l="1"/>
  <c r="HB9" i="37"/>
  <c r="D6" i="36"/>
  <c r="HA42" i="37"/>
  <c r="G6" i="36" l="1"/>
  <c r="D39" i="36"/>
  <c r="H29" i="36" l="1"/>
  <c r="H12" i="36"/>
  <c r="H13" i="36"/>
  <c r="H11" i="36"/>
  <c r="G39" i="36"/>
  <c r="H39" i="36" l="1"/>
  <c r="J13" i="36" l="1"/>
  <c r="J17" i="36"/>
  <c r="J11" i="36"/>
  <c r="J6" i="36"/>
  <c r="J18" i="36"/>
  <c r="J25" i="36"/>
  <c r="J23" i="36"/>
  <c r="J19" i="36"/>
  <c r="J34" i="36"/>
  <c r="J35" i="36"/>
  <c r="J12" i="36"/>
  <c r="J20" i="36"/>
  <c r="J8" i="36"/>
  <c r="J33" i="36"/>
  <c r="J36" i="36"/>
  <c r="J32" i="36"/>
  <c r="J7" i="36"/>
  <c r="J22" i="36"/>
  <c r="J9" i="36"/>
  <c r="J14" i="36"/>
  <c r="J24" i="36"/>
  <c r="J29" i="36"/>
  <c r="J26" i="36"/>
  <c r="J15" i="36"/>
  <c r="J16" i="36"/>
  <c r="J10" i="36"/>
  <c r="J30" i="36"/>
  <c r="J27" i="36"/>
  <c r="J28" i="36"/>
  <c r="J31" i="36"/>
  <c r="J39" i="36" l="1"/>
  <c r="I38" i="36" l="1"/>
  <c r="C43" i="42" s="1"/>
  <c r="I17" i="36"/>
  <c r="C22" i="42" s="1"/>
  <c r="I21" i="36"/>
  <c r="C26" i="42" s="1"/>
  <c r="I37" i="36"/>
  <c r="C42" i="42" s="1"/>
  <c r="I11" i="36"/>
  <c r="C16" i="42" s="1"/>
  <c r="I13" i="36"/>
  <c r="C18" i="42" s="1"/>
  <c r="I32" i="36"/>
  <c r="C37" i="42" s="1"/>
  <c r="I7" i="36"/>
  <c r="C12" i="42" s="1"/>
  <c r="I34" i="36"/>
  <c r="C39" i="42" s="1"/>
  <c r="I25" i="36"/>
  <c r="C30" i="42" s="1"/>
  <c r="I29" i="36"/>
  <c r="C34" i="42" s="1"/>
  <c r="I36" i="36"/>
  <c r="C41" i="42" s="1"/>
  <c r="I6" i="36"/>
  <c r="C11" i="42" s="1"/>
  <c r="I14" i="36"/>
  <c r="C19" i="42" s="1"/>
  <c r="I16" i="36"/>
  <c r="C21" i="42" s="1"/>
  <c r="I8" i="36"/>
  <c r="C13" i="42" s="1"/>
  <c r="I35" i="36"/>
  <c r="C40" i="42" s="1"/>
  <c r="I31" i="36"/>
  <c r="C36" i="42" s="1"/>
  <c r="I9" i="36"/>
  <c r="C14" i="42" s="1"/>
  <c r="I19" i="36"/>
  <c r="C24" i="42" s="1"/>
  <c r="I15" i="36"/>
  <c r="C20" i="42" s="1"/>
  <c r="I10" i="36"/>
  <c r="C15" i="42" s="1"/>
  <c r="I24" i="36"/>
  <c r="C29" i="42" s="1"/>
  <c r="I33" i="36"/>
  <c r="C38" i="42" s="1"/>
  <c r="I23" i="36"/>
  <c r="C28" i="42" s="1"/>
  <c r="I26" i="36"/>
  <c r="C31" i="42" s="1"/>
  <c r="I20" i="36"/>
  <c r="C25" i="42" s="1"/>
  <c r="I27" i="36"/>
  <c r="C32" i="42" s="1"/>
  <c r="I18" i="36"/>
  <c r="C23" i="42" s="1"/>
  <c r="I28" i="36"/>
  <c r="C33" i="42" s="1"/>
  <c r="I22" i="36"/>
  <c r="C27" i="42" s="1"/>
  <c r="I12" i="36"/>
  <c r="C17" i="42" s="1"/>
  <c r="I30" i="36"/>
  <c r="C35" i="42" s="1"/>
  <c r="S23" i="42" l="1"/>
  <c r="T23" i="42"/>
  <c r="U23" i="42"/>
  <c r="S40" i="42"/>
  <c r="T40" i="42"/>
  <c r="K40" i="42" s="1"/>
  <c r="U40" i="42"/>
  <c r="U39" i="42"/>
  <c r="S39" i="42"/>
  <c r="T39" i="42"/>
  <c r="S16" i="42"/>
  <c r="T16" i="42"/>
  <c r="U16" i="42"/>
  <c r="S32" i="42"/>
  <c r="T32" i="42"/>
  <c r="U32" i="42"/>
  <c r="T13" i="42"/>
  <c r="U13" i="42"/>
  <c r="S13" i="42"/>
  <c r="S12" i="42"/>
  <c r="T12" i="42"/>
  <c r="U12" i="42"/>
  <c r="U42" i="42"/>
  <c r="T42" i="42"/>
  <c r="S42" i="42"/>
  <c r="S35" i="42"/>
  <c r="U35" i="42"/>
  <c r="T35" i="42"/>
  <c r="S28" i="42"/>
  <c r="T28" i="42"/>
  <c r="U28" i="42"/>
  <c r="S11" i="42"/>
  <c r="U11" i="42"/>
  <c r="T11" i="42"/>
  <c r="C44" i="42"/>
  <c r="S43" i="42"/>
  <c r="T43" i="42"/>
  <c r="K43" i="42" s="1"/>
  <c r="U43" i="42"/>
  <c r="T17" i="42"/>
  <c r="U17" i="42"/>
  <c r="S17" i="42"/>
  <c r="U38" i="42"/>
  <c r="T38" i="42"/>
  <c r="S38" i="42"/>
  <c r="S24" i="42"/>
  <c r="T24" i="42"/>
  <c r="U24" i="42"/>
  <c r="T41" i="42"/>
  <c r="K41" i="42" s="1"/>
  <c r="U41" i="42"/>
  <c r="S41" i="42"/>
  <c r="S27" i="42"/>
  <c r="T27" i="42"/>
  <c r="U27" i="42"/>
  <c r="T25" i="42"/>
  <c r="S25" i="42"/>
  <c r="U25" i="42"/>
  <c r="T29" i="42"/>
  <c r="U29" i="42"/>
  <c r="S29" i="42"/>
  <c r="U14" i="42"/>
  <c r="T14" i="42"/>
  <c r="S14" i="42"/>
  <c r="T21" i="42"/>
  <c r="U21" i="42"/>
  <c r="S21" i="42"/>
  <c r="U34" i="42"/>
  <c r="T34" i="42"/>
  <c r="S34" i="42"/>
  <c r="T37" i="42"/>
  <c r="U37" i="42"/>
  <c r="S37" i="42"/>
  <c r="U26" i="42"/>
  <c r="T26" i="42"/>
  <c r="K26" i="42" s="1"/>
  <c r="S26" i="42"/>
  <c r="S20" i="42"/>
  <c r="T20" i="42"/>
  <c r="U20" i="42"/>
  <c r="T33" i="42"/>
  <c r="U33" i="42"/>
  <c r="S33" i="42"/>
  <c r="S31" i="42"/>
  <c r="U31" i="42"/>
  <c r="T31" i="42"/>
  <c r="U15" i="42"/>
  <c r="S15" i="42"/>
  <c r="T15" i="42"/>
  <c r="S36" i="42"/>
  <c r="T36" i="42"/>
  <c r="U36" i="42"/>
  <c r="U19" i="42"/>
  <c r="S19" i="42"/>
  <c r="T19" i="42"/>
  <c r="U30" i="42"/>
  <c r="T30" i="42"/>
  <c r="S30" i="42"/>
  <c r="U18" i="42"/>
  <c r="T18" i="42"/>
  <c r="S18" i="42"/>
  <c r="U22" i="42"/>
  <c r="T22" i="42"/>
  <c r="K22" i="42" s="1"/>
  <c r="S22" i="42"/>
  <c r="G20" i="25"/>
  <c r="H31" i="42" l="1"/>
  <c r="I31" i="42" s="1"/>
  <c r="H30" i="42"/>
  <c r="I30" i="42" s="1"/>
  <c r="H19" i="42"/>
  <c r="I19" i="42" s="1"/>
  <c r="H17" i="42"/>
  <c r="I17" i="42" s="1"/>
  <c r="H11" i="42"/>
  <c r="I11" i="42" s="1"/>
  <c r="J42" i="42"/>
  <c r="H16" i="42"/>
  <c r="I16" i="42" s="1"/>
  <c r="H41" i="42"/>
  <c r="I41" i="42" s="1"/>
  <c r="L41" i="42" s="1"/>
  <c r="M41" i="42" s="1"/>
  <c r="H15" i="42"/>
  <c r="I15" i="42" s="1"/>
  <c r="H21" i="42"/>
  <c r="I21" i="42" s="1"/>
  <c r="H27" i="42"/>
  <c r="I27" i="42" s="1"/>
  <c r="H42" i="42"/>
  <c r="I42" i="42" s="1"/>
  <c r="H12" i="42"/>
  <c r="J12" i="42" s="1"/>
  <c r="K12" i="42" s="1"/>
  <c r="H32" i="42"/>
  <c r="I32" i="42" s="1"/>
  <c r="H40" i="42"/>
  <c r="I40" i="42" s="1"/>
  <c r="L40" i="42" s="1"/>
  <c r="M40" i="42" s="1"/>
  <c r="H26" i="42"/>
  <c r="I26" i="42" s="1"/>
  <c r="L26" i="42" s="1"/>
  <c r="M26" i="42" s="1"/>
  <c r="N26" i="42" s="1"/>
  <c r="H14" i="42"/>
  <c r="I14" i="42" s="1"/>
  <c r="H29" i="42"/>
  <c r="I29" i="42" s="1"/>
  <c r="H13" i="42"/>
  <c r="I13" i="42" s="1"/>
  <c r="H39" i="42"/>
  <c r="I39" i="42" s="1"/>
  <c r="H38" i="42"/>
  <c r="I38" i="42" s="1"/>
  <c r="H33" i="42"/>
  <c r="I33" i="42" s="1"/>
  <c r="H20" i="42"/>
  <c r="I20" i="42" s="1"/>
  <c r="H34" i="42"/>
  <c r="I34" i="42" s="1"/>
  <c r="H24" i="42"/>
  <c r="I24" i="42" s="1"/>
  <c r="H18" i="42"/>
  <c r="I18" i="42" s="1"/>
  <c r="H22" i="42"/>
  <c r="I22" i="42" s="1"/>
  <c r="H37" i="42"/>
  <c r="J37" i="42" s="1"/>
  <c r="K37" i="42" s="1"/>
  <c r="H25" i="42"/>
  <c r="I25" i="42" s="1"/>
  <c r="K42" i="42"/>
  <c r="H35" i="42"/>
  <c r="I35" i="42" s="1"/>
  <c r="J26" i="42"/>
  <c r="J22" i="42"/>
  <c r="H36" i="42"/>
  <c r="I36" i="42" s="1"/>
  <c r="H43" i="42"/>
  <c r="I43" i="42" s="1"/>
  <c r="L43" i="42" s="1"/>
  <c r="M43" i="42" s="1"/>
  <c r="N43" i="42" s="1"/>
  <c r="H28" i="42"/>
  <c r="I28" i="42" s="1"/>
  <c r="H23" i="42"/>
  <c r="I23" i="42" s="1"/>
  <c r="J43" i="42"/>
  <c r="L22" i="42" l="1"/>
  <c r="M22" i="42" s="1"/>
  <c r="N22" i="42" s="1"/>
  <c r="Q22" i="42"/>
  <c r="J30" i="42"/>
  <c r="K30" i="42" s="1"/>
  <c r="L30" i="42" s="1"/>
  <c r="M30" i="42" s="1"/>
  <c r="J31" i="42"/>
  <c r="K31" i="42" s="1"/>
  <c r="Q31" i="42" s="1"/>
  <c r="I12" i="42"/>
  <c r="Q12" i="42" s="1"/>
  <c r="Q41" i="42"/>
  <c r="N41" i="42" s="1"/>
  <c r="J41" i="42"/>
  <c r="J17" i="42"/>
  <c r="K17" i="42" s="1"/>
  <c r="Q17" i="42" s="1"/>
  <c r="J33" i="42"/>
  <c r="K33" i="42" s="1"/>
  <c r="L33" i="42" s="1"/>
  <c r="M33" i="42" s="1"/>
  <c r="J18" i="42"/>
  <c r="K18" i="42" s="1"/>
  <c r="L18" i="42" s="1"/>
  <c r="M18" i="42" s="1"/>
  <c r="L42" i="42"/>
  <c r="M42" i="42" s="1"/>
  <c r="N42" i="42" s="1"/>
  <c r="J11" i="42"/>
  <c r="K11" i="42" s="1"/>
  <c r="Q11" i="42" s="1"/>
  <c r="J14" i="42"/>
  <c r="K14" i="42" s="1"/>
  <c r="Q14" i="42" s="1"/>
  <c r="J38" i="42"/>
  <c r="K38" i="42" s="1"/>
  <c r="Q38" i="42" s="1"/>
  <c r="J25" i="42"/>
  <c r="K25" i="42" s="1"/>
  <c r="L25" i="42" s="1"/>
  <c r="M25" i="42" s="1"/>
  <c r="J15" i="42"/>
  <c r="K15" i="42" s="1"/>
  <c r="Q15" i="42" s="1"/>
  <c r="J24" i="42"/>
  <c r="K24" i="42" s="1"/>
  <c r="Q24" i="42" s="1"/>
  <c r="J19" i="42"/>
  <c r="K19" i="42" s="1"/>
  <c r="L19" i="42" s="1"/>
  <c r="M19" i="42" s="1"/>
  <c r="J16" i="42"/>
  <c r="K16" i="42" s="1"/>
  <c r="Q16" i="42" s="1"/>
  <c r="J32" i="42"/>
  <c r="K32" i="42" s="1"/>
  <c r="Q32" i="42" s="1"/>
  <c r="J21" i="42"/>
  <c r="K21" i="42" s="1"/>
  <c r="Q21" i="42" s="1"/>
  <c r="Q40" i="42"/>
  <c r="N40" i="42" s="1"/>
  <c r="J40" i="42"/>
  <c r="J27" i="42"/>
  <c r="K27" i="42" s="1"/>
  <c r="Q27" i="42" s="1"/>
  <c r="J13" i="42"/>
  <c r="K13" i="42" s="1"/>
  <c r="L13" i="42" s="1"/>
  <c r="M13" i="42" s="1"/>
  <c r="I37" i="42"/>
  <c r="Q37" i="42" s="1"/>
  <c r="J29" i="42"/>
  <c r="K29" i="42" s="1"/>
  <c r="J20" i="42"/>
  <c r="K20" i="42" s="1"/>
  <c r="Q20" i="42" s="1"/>
  <c r="J23" i="42"/>
  <c r="K23" i="42" s="1"/>
  <c r="L23" i="42" s="1"/>
  <c r="M23" i="42" s="1"/>
  <c r="J39" i="42"/>
  <c r="K39" i="42" s="1"/>
  <c r="L39" i="42" s="1"/>
  <c r="M39" i="42" s="1"/>
  <c r="J35" i="42"/>
  <c r="K35" i="42" s="1"/>
  <c r="Q35" i="42" s="1"/>
  <c r="J34" i="42"/>
  <c r="K34" i="42" s="1"/>
  <c r="L34" i="42" s="1"/>
  <c r="M34" i="42" s="1"/>
  <c r="J36" i="42"/>
  <c r="K36" i="42" s="1"/>
  <c r="J28" i="42"/>
  <c r="K28" i="42" s="1"/>
  <c r="L28" i="42" s="1"/>
  <c r="M28" i="42" s="1"/>
  <c r="Q30" i="42" l="1"/>
  <c r="N30" i="42" s="1"/>
  <c r="L12" i="42"/>
  <c r="M12" i="42" s="1"/>
  <c r="N12" i="42" s="1"/>
  <c r="L31" i="42"/>
  <c r="M31" i="42" s="1"/>
  <c r="N31" i="42" s="1"/>
  <c r="Q39" i="42"/>
  <c r="N39" i="42" s="1"/>
  <c r="L15" i="42"/>
  <c r="M15" i="42" s="1"/>
  <c r="N15" i="42" s="1"/>
  <c r="Q33" i="42"/>
  <c r="N33" i="42" s="1"/>
  <c r="L14" i="42"/>
  <c r="M14" i="42" s="1"/>
  <c r="N14" i="42" s="1"/>
  <c r="L11" i="42"/>
  <c r="M11" i="42" s="1"/>
  <c r="N11" i="42" s="1"/>
  <c r="L17" i="42"/>
  <c r="M17" i="42" s="1"/>
  <c r="N17" i="42" s="1"/>
  <c r="Q23" i="42"/>
  <c r="N23" i="42" s="1"/>
  <c r="Q18" i="42"/>
  <c r="N18" i="42" s="1"/>
  <c r="L38" i="42"/>
  <c r="M38" i="42" s="1"/>
  <c r="N38" i="42" s="1"/>
  <c r="Q19" i="42"/>
  <c r="N19" i="42" s="1"/>
  <c r="L27" i="42"/>
  <c r="M27" i="42" s="1"/>
  <c r="N27" i="42" s="1"/>
  <c r="L24" i="42"/>
  <c r="M24" i="42" s="1"/>
  <c r="N24" i="42" s="1"/>
  <c r="Q28" i="42"/>
  <c r="N28" i="42" s="1"/>
  <c r="Q25" i="42"/>
  <c r="N25" i="42" s="1"/>
  <c r="L32" i="42"/>
  <c r="M32" i="42" s="1"/>
  <c r="N32" i="42" s="1"/>
  <c r="L16" i="42"/>
  <c r="M16" i="42" s="1"/>
  <c r="N16" i="42" s="1"/>
  <c r="L35" i="42"/>
  <c r="M35" i="42" s="1"/>
  <c r="N35" i="42" s="1"/>
  <c r="Q13" i="42"/>
  <c r="N13" i="42" s="1"/>
  <c r="L21" i="42"/>
  <c r="M21" i="42" s="1"/>
  <c r="N21" i="42" s="1"/>
  <c r="L37" i="42"/>
  <c r="M37" i="42" s="1"/>
  <c r="N37" i="42" s="1"/>
  <c r="I44" i="42"/>
  <c r="J44" i="42"/>
  <c r="L20" i="42"/>
  <c r="M20" i="42" s="1"/>
  <c r="N20" i="42" s="1"/>
  <c r="Q29" i="42"/>
  <c r="L29" i="42"/>
  <c r="M29" i="42" s="1"/>
  <c r="Q34" i="42"/>
  <c r="N34" i="42" s="1"/>
  <c r="K44" i="42"/>
  <c r="Q36" i="42"/>
  <c r="L36" i="42"/>
  <c r="M36" i="42" s="1"/>
  <c r="N29" i="42" l="1"/>
  <c r="N36" i="42"/>
  <c r="M44" i="42"/>
  <c r="N44" i="42" l="1"/>
  <c r="O14" i="42" s="1"/>
  <c r="C14" i="40" s="1"/>
  <c r="O39" i="42" l="1"/>
  <c r="C39" i="40" s="1"/>
  <c r="O37" i="42"/>
  <c r="O19" i="42"/>
  <c r="O42" i="42"/>
  <c r="P42" i="42" s="1"/>
  <c r="D62" i="43" s="1"/>
  <c r="O12" i="42"/>
  <c r="C12" i="40" s="1"/>
  <c r="O41" i="42"/>
  <c r="O15" i="42"/>
  <c r="O32" i="42"/>
  <c r="O24" i="42"/>
  <c r="C24" i="40" s="1"/>
  <c r="P14" i="42"/>
  <c r="D34" i="43" s="1"/>
  <c r="O31" i="42"/>
  <c r="C31" i="40" s="1"/>
  <c r="O43" i="42"/>
  <c r="P43" i="42" s="1"/>
  <c r="D63" i="43" s="1"/>
  <c r="O36" i="42"/>
  <c r="O22" i="42"/>
  <c r="O11" i="42"/>
  <c r="O28" i="42"/>
  <c r="C28" i="40" s="1"/>
  <c r="O16" i="42"/>
  <c r="C16" i="40" s="1"/>
  <c r="O20" i="42"/>
  <c r="C20" i="40" s="1"/>
  <c r="O13" i="42"/>
  <c r="O40" i="42"/>
  <c r="O27" i="42"/>
  <c r="C27" i="40" s="1"/>
  <c r="O35" i="42"/>
  <c r="C35" i="40" s="1"/>
  <c r="O23" i="42"/>
  <c r="O30" i="42"/>
  <c r="C30" i="40" s="1"/>
  <c r="O17" i="42"/>
  <c r="C17" i="40" s="1"/>
  <c r="O38" i="42"/>
  <c r="C38" i="40" s="1"/>
  <c r="O26" i="42"/>
  <c r="O25" i="42"/>
  <c r="O33" i="42"/>
  <c r="C33" i="40" s="1"/>
  <c r="O21" i="42"/>
  <c r="C21" i="40" s="1"/>
  <c r="O29" i="42"/>
  <c r="O34" i="42"/>
  <c r="C34" i="40" s="1"/>
  <c r="O18" i="42"/>
  <c r="C18" i="40" s="1"/>
  <c r="P25" i="42" l="1"/>
  <c r="D45" i="43" s="1"/>
  <c r="G45" i="43" s="1"/>
  <c r="H45" i="43" s="1"/>
  <c r="C25" i="40"/>
  <c r="P40" i="42"/>
  <c r="D60" i="43" s="1"/>
  <c r="G60" i="43" s="1"/>
  <c r="H60" i="43" s="1"/>
  <c r="C40" i="40"/>
  <c r="P32" i="42"/>
  <c r="D52" i="43" s="1"/>
  <c r="J52" i="43" s="1"/>
  <c r="C32" i="40"/>
  <c r="P29" i="42"/>
  <c r="D49" i="43" s="1"/>
  <c r="J49" i="43" s="1"/>
  <c r="C29" i="40"/>
  <c r="P26" i="42"/>
  <c r="D46" i="43" s="1"/>
  <c r="C26" i="40"/>
  <c r="P23" i="42"/>
  <c r="D43" i="43" s="1"/>
  <c r="J43" i="43" s="1"/>
  <c r="C23" i="40"/>
  <c r="P13" i="42"/>
  <c r="D33" i="43" s="1"/>
  <c r="G33" i="43" s="1"/>
  <c r="H33" i="43" s="1"/>
  <c r="C13" i="40"/>
  <c r="P11" i="42"/>
  <c r="D31" i="43" s="1"/>
  <c r="J31" i="43" s="1"/>
  <c r="C11" i="40"/>
  <c r="P15" i="42"/>
  <c r="D35" i="43" s="1"/>
  <c r="J35" i="43" s="1"/>
  <c r="C15" i="40"/>
  <c r="P19" i="42"/>
  <c r="D39" i="43" s="1"/>
  <c r="J39" i="43" s="1"/>
  <c r="C19" i="40"/>
  <c r="P22" i="42"/>
  <c r="D42" i="43" s="1"/>
  <c r="C22" i="40"/>
  <c r="P41" i="42"/>
  <c r="D61" i="43" s="1"/>
  <c r="G61" i="43" s="1"/>
  <c r="H61" i="43" s="1"/>
  <c r="C41" i="40"/>
  <c r="P37" i="42"/>
  <c r="D57" i="43" s="1"/>
  <c r="J57" i="43" s="1"/>
  <c r="C37" i="40"/>
  <c r="P36" i="42"/>
  <c r="D56" i="43" s="1"/>
  <c r="G56" i="43" s="1"/>
  <c r="H56" i="43" s="1"/>
  <c r="C36" i="40"/>
  <c r="G42" i="43"/>
  <c r="H42" i="43" s="1"/>
  <c r="J42" i="43"/>
  <c r="J60" i="43"/>
  <c r="G52" i="43"/>
  <c r="H52" i="43" s="1"/>
  <c r="G34" i="43"/>
  <c r="H34" i="43" s="1"/>
  <c r="J34" i="43"/>
  <c r="P39" i="42"/>
  <c r="D59" i="43" s="1"/>
  <c r="P12" i="42"/>
  <c r="D32" i="43" s="1"/>
  <c r="P27" i="42"/>
  <c r="D47" i="43" s="1"/>
  <c r="P17" i="42"/>
  <c r="D37" i="43" s="1"/>
  <c r="P24" i="42"/>
  <c r="D44" i="43" s="1"/>
  <c r="P16" i="42"/>
  <c r="D36" i="43" s="1"/>
  <c r="P20" i="42"/>
  <c r="D40" i="43" s="1"/>
  <c r="P31" i="42"/>
  <c r="D51" i="43" s="1"/>
  <c r="P38" i="42"/>
  <c r="D58" i="43" s="1"/>
  <c r="P21" i="42"/>
  <c r="D41" i="43" s="1"/>
  <c r="P35" i="42"/>
  <c r="D55" i="43" s="1"/>
  <c r="P28" i="42"/>
  <c r="D48" i="43" s="1"/>
  <c r="P30" i="42"/>
  <c r="D50" i="43" s="1"/>
  <c r="P34" i="42"/>
  <c r="D54" i="43" s="1"/>
  <c r="P18" i="42"/>
  <c r="D38" i="43" s="1"/>
  <c r="P33" i="42"/>
  <c r="D53" i="43" s="1"/>
  <c r="O44" i="42"/>
  <c r="J45" i="43" l="1"/>
  <c r="G57" i="43"/>
  <c r="H57" i="43" s="1"/>
  <c r="J33" i="43"/>
  <c r="J56" i="43"/>
  <c r="G49" i="43"/>
  <c r="H49" i="43" s="1"/>
  <c r="G31" i="43"/>
  <c r="G35" i="43"/>
  <c r="H35" i="43" s="1"/>
  <c r="G39" i="43"/>
  <c r="H39" i="43" s="1"/>
  <c r="G43" i="43"/>
  <c r="H43" i="43" s="1"/>
  <c r="J61" i="43"/>
  <c r="J48" i="43"/>
  <c r="G48" i="43"/>
  <c r="H48" i="43" s="1"/>
  <c r="G50" i="43"/>
  <c r="H50" i="43" s="1"/>
  <c r="J50" i="43"/>
  <c r="G58" i="43"/>
  <c r="H58" i="43" s="1"/>
  <c r="J58" i="43"/>
  <c r="J44" i="43"/>
  <c r="G44" i="43"/>
  <c r="H44" i="43" s="1"/>
  <c r="J59" i="43"/>
  <c r="G59" i="43"/>
  <c r="H59" i="43" s="1"/>
  <c r="J37" i="43"/>
  <c r="G37" i="43"/>
  <c r="H37" i="43" s="1"/>
  <c r="H31" i="43"/>
  <c r="G53" i="43"/>
  <c r="H53" i="43" s="1"/>
  <c r="J53" i="43"/>
  <c r="J55" i="43"/>
  <c r="G55" i="43"/>
  <c r="H55" i="43" s="1"/>
  <c r="J51" i="43"/>
  <c r="G51" i="43"/>
  <c r="H51" i="43" s="1"/>
  <c r="J38" i="43"/>
  <c r="G38" i="43"/>
  <c r="H38" i="43" s="1"/>
  <c r="J40" i="43"/>
  <c r="G40" i="43"/>
  <c r="H40" i="43" s="1"/>
  <c r="J47" i="43"/>
  <c r="G47" i="43"/>
  <c r="H47" i="43" s="1"/>
  <c r="G54" i="43"/>
  <c r="H54" i="43" s="1"/>
  <c r="J54" i="43"/>
  <c r="G41" i="43"/>
  <c r="H41" i="43" s="1"/>
  <c r="J41" i="43"/>
  <c r="J36" i="43"/>
  <c r="G36" i="43"/>
  <c r="H36" i="43" s="1"/>
  <c r="J32" i="43"/>
  <c r="G32" i="43"/>
  <c r="H32" i="43" s="1"/>
  <c r="D64" i="43"/>
  <c r="P44" i="42"/>
  <c r="J64" i="43" l="1"/>
  <c r="K6" i="43" s="1"/>
  <c r="H64" i="43"/>
  <c r="G64" i="43"/>
  <c r="K35" i="43" l="1"/>
  <c r="K42" i="43"/>
  <c r="K52" i="43"/>
  <c r="K56" i="43"/>
  <c r="K48" i="43"/>
  <c r="K60" i="43"/>
  <c r="K43" i="43"/>
  <c r="K38" i="43"/>
  <c r="K34" i="43"/>
  <c r="K55" i="43"/>
  <c r="K31" i="43"/>
  <c r="K51" i="43"/>
  <c r="K37" i="43"/>
  <c r="K47" i="43"/>
  <c r="K58" i="43"/>
  <c r="K7" i="43"/>
  <c r="K59" i="43"/>
  <c r="K41" i="43"/>
  <c r="K45" i="43"/>
  <c r="K54" i="43"/>
  <c r="K36" i="43"/>
  <c r="K40" i="43"/>
  <c r="K33" i="43"/>
  <c r="K50" i="43"/>
  <c r="K61" i="43"/>
  <c r="K32" i="43"/>
  <c r="K53" i="43"/>
  <c r="K49" i="43"/>
  <c r="K44" i="43"/>
  <c r="K57" i="43"/>
  <c r="K39" i="43"/>
  <c r="I43" i="40"/>
  <c r="I42" i="40"/>
  <c r="L42" i="43" l="1"/>
  <c r="K64" i="43"/>
  <c r="L35" i="43" s="1"/>
  <c r="D37" i="25"/>
  <c r="J43" i="40"/>
  <c r="E37" i="25" s="1"/>
  <c r="G37" i="25" s="1"/>
  <c r="J42" i="40"/>
  <c r="E36" i="25" s="1"/>
  <c r="G36" i="25" s="1"/>
  <c r="D36" i="25"/>
  <c r="L33" i="43" l="1"/>
  <c r="L57" i="43"/>
  <c r="L55" i="43"/>
  <c r="L60" i="43"/>
  <c r="L54" i="43"/>
  <c r="L48" i="43"/>
  <c r="L61" i="43"/>
  <c r="L51" i="43"/>
  <c r="L32" i="43"/>
  <c r="L38" i="43"/>
  <c r="L53" i="43"/>
  <c r="L41" i="43"/>
  <c r="L58" i="43"/>
  <c r="L49" i="43"/>
  <c r="L44" i="43"/>
  <c r="L34" i="43"/>
  <c r="L50" i="43"/>
  <c r="L56" i="43"/>
  <c r="L39" i="43"/>
  <c r="L43" i="43"/>
  <c r="L47" i="43"/>
  <c r="L45" i="43"/>
  <c r="L52" i="43"/>
  <c r="L37" i="43"/>
  <c r="L59" i="43"/>
  <c r="L36" i="43"/>
  <c r="L40" i="43"/>
  <c r="L31" i="43"/>
  <c r="M42" i="43"/>
  <c r="L64" i="43" l="1"/>
  <c r="M36" i="43" s="1"/>
  <c r="N36" i="43" s="1"/>
  <c r="H22" i="40"/>
  <c r="N42" i="43"/>
  <c r="M51" i="43" l="1"/>
  <c r="N51" i="43" s="1"/>
  <c r="M31" i="43"/>
  <c r="N31" i="43" s="1"/>
  <c r="M43" i="43"/>
  <c r="N43" i="43" s="1"/>
  <c r="M58" i="43"/>
  <c r="H38" i="40" s="1"/>
  <c r="M44" i="43"/>
  <c r="N44" i="43" s="1"/>
  <c r="M48" i="43"/>
  <c r="H28" i="40" s="1"/>
  <c r="M47" i="43"/>
  <c r="H27" i="40" s="1"/>
  <c r="M41" i="43"/>
  <c r="H21" i="40" s="1"/>
  <c r="M61" i="43"/>
  <c r="N61" i="43" s="1"/>
  <c r="M53" i="43"/>
  <c r="H33" i="40" s="1"/>
  <c r="H16" i="40"/>
  <c r="M60" i="43"/>
  <c r="H40" i="40" s="1"/>
  <c r="M59" i="43"/>
  <c r="N59" i="43" s="1"/>
  <c r="M37" i="43"/>
  <c r="N37" i="43" s="1"/>
  <c r="M56" i="43"/>
  <c r="N56" i="43" s="1"/>
  <c r="M54" i="43"/>
  <c r="H34" i="40" s="1"/>
  <c r="M50" i="43"/>
  <c r="H30" i="40" s="1"/>
  <c r="M52" i="43"/>
  <c r="N52" i="43" s="1"/>
  <c r="M39" i="43"/>
  <c r="N39" i="43" s="1"/>
  <c r="M45" i="43"/>
  <c r="N45" i="43" s="1"/>
  <c r="M49" i="43"/>
  <c r="H29" i="40" s="1"/>
  <c r="M32" i="43"/>
  <c r="H12" i="40" s="1"/>
  <c r="M57" i="43"/>
  <c r="H37" i="40" s="1"/>
  <c r="M33" i="43"/>
  <c r="N33" i="43" s="1"/>
  <c r="M35" i="43"/>
  <c r="H15" i="40" s="1"/>
  <c r="M55" i="43"/>
  <c r="H35" i="40" s="1"/>
  <c r="M38" i="43"/>
  <c r="N38" i="43" s="1"/>
  <c r="M34" i="43"/>
  <c r="N34" i="43" s="1"/>
  <c r="M40" i="43"/>
  <c r="N40" i="43" s="1"/>
  <c r="H23" i="40" l="1"/>
  <c r="H31" i="40"/>
  <c r="H11" i="40"/>
  <c r="I22" i="40" s="1"/>
  <c r="J22" i="40" s="1"/>
  <c r="E16" i="25" s="1"/>
  <c r="N58" i="43"/>
  <c r="N48" i="43"/>
  <c r="H24" i="40"/>
  <c r="N47" i="43"/>
  <c r="N55" i="43"/>
  <c r="N41" i="43"/>
  <c r="H17" i="40"/>
  <c r="N53" i="43"/>
  <c r="N49" i="43"/>
  <c r="H41" i="40"/>
  <c r="H36" i="40"/>
  <c r="N32" i="43"/>
  <c r="N35" i="43"/>
  <c r="H32" i="40"/>
  <c r="N50" i="43"/>
  <c r="H18" i="40"/>
  <c r="H39" i="40"/>
  <c r="N60" i="43"/>
  <c r="H20" i="40"/>
  <c r="H19" i="40"/>
  <c r="N57" i="43"/>
  <c r="M64" i="43"/>
  <c r="H25" i="40"/>
  <c r="N54" i="43"/>
  <c r="H13" i="40"/>
  <c r="H14" i="40"/>
  <c r="D16" i="25" l="1"/>
  <c r="I28" i="40"/>
  <c r="J28" i="40" s="1"/>
  <c r="E22" i="25" s="1"/>
  <c r="I35" i="40"/>
  <c r="J35" i="40" s="1"/>
  <c r="E29" i="25" s="1"/>
  <c r="I32" i="40"/>
  <c r="J32" i="40" s="1"/>
  <c r="E26" i="25" s="1"/>
  <c r="G26" i="25" s="1"/>
  <c r="I17" i="40"/>
  <c r="D11" i="25" s="1"/>
  <c r="I18" i="40"/>
  <c r="J18" i="40" s="1"/>
  <c r="E12" i="25" s="1"/>
  <c r="G12" i="25" s="1"/>
  <c r="I19" i="40"/>
  <c r="J19" i="40" s="1"/>
  <c r="E13" i="25" s="1"/>
  <c r="G13" i="25" s="1"/>
  <c r="I29" i="40"/>
  <c r="D23" i="25" s="1"/>
  <c r="I13" i="40"/>
  <c r="J13" i="40" s="1"/>
  <c r="E7" i="25" s="1"/>
  <c r="I25" i="40"/>
  <c r="D19" i="25" s="1"/>
  <c r="I39" i="40"/>
  <c r="D33" i="25" s="1"/>
  <c r="I14" i="40"/>
  <c r="D8" i="25" s="1"/>
  <c r="I11" i="40"/>
  <c r="D5" i="25" s="1"/>
  <c r="N64" i="43"/>
  <c r="I27" i="40"/>
  <c r="D21" i="25" s="1"/>
  <c r="I34" i="40"/>
  <c r="D28" i="25" s="1"/>
  <c r="I16" i="40"/>
  <c r="D10" i="25" s="1"/>
  <c r="I41" i="40"/>
  <c r="J41" i="40" s="1"/>
  <c r="E35" i="25" s="1"/>
  <c r="G35" i="25" s="1"/>
  <c r="I40" i="40"/>
  <c r="J40" i="40" s="1"/>
  <c r="E34" i="25" s="1"/>
  <c r="G34" i="25" s="1"/>
  <c r="I21" i="40"/>
  <c r="J21" i="40" s="1"/>
  <c r="E15" i="25" s="1"/>
  <c r="I12" i="40"/>
  <c r="D6" i="25" s="1"/>
  <c r="I31" i="40"/>
  <c r="D25" i="25" s="1"/>
  <c r="I20" i="40"/>
  <c r="D14" i="25" s="1"/>
  <c r="I24" i="40"/>
  <c r="J24" i="40" s="1"/>
  <c r="E18" i="25" s="1"/>
  <c r="H18" i="25" s="1"/>
  <c r="I38" i="40"/>
  <c r="J38" i="40" s="1"/>
  <c r="E32" i="25" s="1"/>
  <c r="G32" i="25" s="1"/>
  <c r="I23" i="40"/>
  <c r="J23" i="40" s="1"/>
  <c r="E17" i="25" s="1"/>
  <c r="H17" i="25" s="1"/>
  <c r="I36" i="40"/>
  <c r="J36" i="40" s="1"/>
  <c r="E30" i="25" s="1"/>
  <c r="G30" i="25" s="1"/>
  <c r="I33" i="40"/>
  <c r="J33" i="40" s="1"/>
  <c r="E27" i="25" s="1"/>
  <c r="G27" i="25" s="1"/>
  <c r="I37" i="40"/>
  <c r="D31" i="25" s="1"/>
  <c r="I15" i="40"/>
  <c r="D9" i="25" s="1"/>
  <c r="I30" i="40"/>
  <c r="J30" i="40" s="1"/>
  <c r="E24" i="25" s="1"/>
  <c r="H24" i="25" s="1"/>
  <c r="H16" i="25"/>
  <c r="G16" i="25"/>
  <c r="D22" i="25" l="1"/>
  <c r="J17" i="40"/>
  <c r="E11" i="25" s="1"/>
  <c r="G11" i="25" s="1"/>
  <c r="D26" i="25"/>
  <c r="H26" i="25"/>
  <c r="H13" i="25"/>
  <c r="J39" i="40"/>
  <c r="E33" i="25" s="1"/>
  <c r="H33" i="25" s="1"/>
  <c r="D29" i="25"/>
  <c r="J11" i="40"/>
  <c r="E5" i="25" s="1"/>
  <c r="H5" i="25" s="1"/>
  <c r="D13" i="25"/>
  <c r="H12" i="25"/>
  <c r="D12" i="25"/>
  <c r="G18" i="25"/>
  <c r="H35" i="25"/>
  <c r="J14" i="40"/>
  <c r="E8" i="25" s="1"/>
  <c r="G8" i="25" s="1"/>
  <c r="J29" i="40"/>
  <c r="E23" i="25" s="1"/>
  <c r="G23" i="25" s="1"/>
  <c r="G17" i="25"/>
  <c r="D7" i="25"/>
  <c r="J25" i="40"/>
  <c r="E19" i="25" s="1"/>
  <c r="G19" i="25" s="1"/>
  <c r="D15" i="25"/>
  <c r="H34" i="25"/>
  <c r="J31" i="40"/>
  <c r="E25" i="25" s="1"/>
  <c r="G25" i="25" s="1"/>
  <c r="D17" i="25"/>
  <c r="G24" i="25"/>
  <c r="D34" i="25"/>
  <c r="J12" i="40"/>
  <c r="E6" i="25" s="1"/>
  <c r="H6" i="25" s="1"/>
  <c r="H30" i="25"/>
  <c r="J27" i="40"/>
  <c r="E21" i="25" s="1"/>
  <c r="H21" i="25" s="1"/>
  <c r="J16" i="40"/>
  <c r="E10" i="25" s="1"/>
  <c r="G10" i="25" s="1"/>
  <c r="D30" i="25"/>
  <c r="D32" i="25"/>
  <c r="J15" i="40"/>
  <c r="E9" i="25" s="1"/>
  <c r="H9" i="25" s="1"/>
  <c r="D35" i="25"/>
  <c r="H32" i="25"/>
  <c r="J20" i="40"/>
  <c r="E14" i="25" s="1"/>
  <c r="H14" i="25" s="1"/>
  <c r="J37" i="40"/>
  <c r="E31" i="25" s="1"/>
  <c r="G31" i="25" s="1"/>
  <c r="D27" i="25"/>
  <c r="J34" i="40"/>
  <c r="E28" i="25" s="1"/>
  <c r="G28" i="25" s="1"/>
  <c r="H27" i="25"/>
  <c r="D24" i="25"/>
  <c r="D18" i="25"/>
  <c r="G29" i="25"/>
  <c r="H29" i="25"/>
  <c r="G7" i="25"/>
  <c r="H7" i="25"/>
  <c r="G22" i="25"/>
  <c r="H22" i="25"/>
  <c r="G15" i="25"/>
  <c r="H15" i="25"/>
  <c r="G33" i="25" l="1"/>
  <c r="H11" i="25"/>
  <c r="G5" i="25"/>
  <c r="H19" i="25"/>
  <c r="H25" i="25"/>
  <c r="H8" i="25"/>
  <c r="H23" i="25"/>
  <c r="H28" i="25"/>
  <c r="D38" i="25"/>
  <c r="G6" i="25"/>
  <c r="G9" i="25"/>
  <c r="G14" i="25"/>
  <c r="H10" i="25"/>
  <c r="G21" i="25"/>
  <c r="E38" i="25"/>
  <c r="H31" i="25"/>
  <c r="G38" i="25" l="1"/>
</calcChain>
</file>

<file path=xl/comments1.xml><?xml version="1.0" encoding="utf-8"?>
<comments xmlns="http://schemas.openxmlformats.org/spreadsheetml/2006/main">
  <authors>
    <author>hilak</author>
  </authors>
  <commentList>
    <comment ref="C27" authorId="0">
      <text>
        <r>
          <rPr>
            <sz val="8"/>
            <color indexed="81"/>
            <rFont val="Tahoma"/>
            <family val="2"/>
          </rPr>
          <t xml:space="preserve">לא שלחו את חלקו של השאלון  המתייחס לעובדים
</t>
        </r>
      </text>
    </comment>
  </commentList>
</comments>
</file>

<file path=xl/sharedStrings.xml><?xml version="1.0" encoding="utf-8"?>
<sst xmlns="http://schemas.openxmlformats.org/spreadsheetml/2006/main" count="663" uniqueCount="338">
  <si>
    <t>סיווג</t>
  </si>
  <si>
    <t>בעל רמה אומנותית נאותה</t>
  </si>
  <si>
    <t>מציג רפרטואר מגוון של הפקות</t>
  </si>
  <si>
    <t>אינו זכאי לתמיכה במסגרת התקנות התקציביות: "קבוצות תיאטרון ופרויקטים" ו/או "בתי ספר לאמנויות"</t>
  </si>
  <si>
    <t>מס' הרצות</t>
  </si>
  <si>
    <t>וותק</t>
  </si>
  <si>
    <t>שנים</t>
  </si>
  <si>
    <t>כן (1) / לא (0)</t>
  </si>
  <si>
    <t>זכאי (1) / אינו זכאי (0)</t>
  </si>
  <si>
    <t>הבימה</t>
  </si>
  <si>
    <t>סימול</t>
  </si>
  <si>
    <t>סוג תיאטרון</t>
  </si>
  <si>
    <t>גדול</t>
  </si>
  <si>
    <t>בינוני</t>
  </si>
  <si>
    <t>ילדים בינוני</t>
  </si>
  <si>
    <t>ילדים קטן</t>
  </si>
  <si>
    <t>קטן</t>
  </si>
  <si>
    <t>ילדים גדול</t>
  </si>
  <si>
    <t>מפתח ניקוד</t>
  </si>
  <si>
    <t>ניקוד ההפקות</t>
  </si>
  <si>
    <t>ניקוד הרצות</t>
  </si>
  <si>
    <t>מקדם קבוצתי</t>
  </si>
  <si>
    <t>סעיף</t>
  </si>
  <si>
    <t>מספר סידורי</t>
  </si>
  <si>
    <t>שם התיאטרון</t>
  </si>
  <si>
    <t>לפחות מחצית מהפקותיו ולפחות מחצית מהרצותיו יועדו לילדים ונוער</t>
  </si>
  <si>
    <t>סה"כ</t>
  </si>
  <si>
    <t>הקאמרי</t>
  </si>
  <si>
    <t>שיעור יחסי עבור משתנה מיקום התיאטרון</t>
  </si>
  <si>
    <t>מקדם סוג</t>
  </si>
  <si>
    <t>מיקום</t>
  </si>
  <si>
    <t>A</t>
  </si>
  <si>
    <t>B</t>
  </si>
  <si>
    <t>C</t>
  </si>
  <si>
    <t>D</t>
  </si>
  <si>
    <t>ניקוד מיקום</t>
  </si>
  <si>
    <t>תל אביב והסביבה</t>
  </si>
  <si>
    <t>30 עד 59 ק"מ מתל אביב  (נתניה, חדרה, יבנה, גדרה)</t>
  </si>
  <si>
    <t>60 עד 100 ק"מ מתל אביב (ירושלים, חיפה)</t>
  </si>
  <si>
    <t>מעל 100 ק"מ מתל אביב (עכו, באר שבע, טבריה)</t>
  </si>
  <si>
    <t>פרמטרים לחישוב ניקוד מיקום</t>
  </si>
  <si>
    <t>מיקום וסיווג</t>
  </si>
  <si>
    <t>סימול מיקום</t>
  </si>
  <si>
    <t>ניקוד</t>
  </si>
  <si>
    <t>מפתח סימול ניקוד מיקום התיאטרון</t>
  </si>
  <si>
    <t>מפתח סימול ניקוד מיקום ההרצות</t>
  </si>
  <si>
    <t>תל אביב והסביבה - סיווג 1</t>
  </si>
  <si>
    <t>תל אביב והסביבה - סיווג 2</t>
  </si>
  <si>
    <t>30 עד 59 ק"מ מתל אביב  (נתניה, חדרה, יבנה, גדרה) - סיווג 1</t>
  </si>
  <si>
    <t>30 עד 59 ק"מ מתל אביב  (נתניה, חדרה, יבנה, גדרה) - סיווג 2</t>
  </si>
  <si>
    <t>60 עד 100 ק"מ מתל אביב (ירושלים, חיפה) - סיווג 1</t>
  </si>
  <si>
    <t>60 עד 100 ק"מ מתל אביב (ירושלים, חיפה) - סיווג 2</t>
  </si>
  <si>
    <t>מעל 100 ק"מ מתל אביב (עכו, באר שבע, טבריה) - סיווג 1</t>
  </si>
  <si>
    <t>מעל 100 ק"מ מתל אביב (עכו, באר שבע, טבריה) - סיווג 2</t>
  </si>
  <si>
    <t>A1</t>
  </si>
  <si>
    <t>A2</t>
  </si>
  <si>
    <t>B1</t>
  </si>
  <si>
    <t>B2</t>
  </si>
  <si>
    <t>C1</t>
  </si>
  <si>
    <t>C2</t>
  </si>
  <si>
    <t>D1</t>
  </si>
  <si>
    <t>D2</t>
  </si>
  <si>
    <t>הערות</t>
  </si>
  <si>
    <t>גבול קבוצת וותק</t>
  </si>
  <si>
    <t>שנת הקמה (yyyy)</t>
  </si>
  <si>
    <t>&gt;50</t>
  </si>
  <si>
    <t>ניקוד לכל שנה</t>
  </si>
  <si>
    <t>10 + ניקוד לכל שנה מ- 11 עד 50</t>
  </si>
  <si>
    <t>ניקוד מלא</t>
  </si>
  <si>
    <t>ניקוד וותק</t>
  </si>
  <si>
    <t>קבוצות וותק וניקודן</t>
  </si>
  <si>
    <t>פרמטרים לחישוב ניקוד וותק</t>
  </si>
  <si>
    <t>שיעור יחסי עבור משתנה הוותק</t>
  </si>
  <si>
    <t>קריטריון</t>
  </si>
  <si>
    <t>תיאטרון שמרבית הרצותיו הן בשפה שאינה עברית או שמרבית השחקנים והצוות האמנותי שהוא מעסיק הם עולים חדשים המצויים בישראל תקופה שאינה עולה על 20 שנים</t>
  </si>
  <si>
    <t>פרמטרים לחישוב ניקוד ייחוד לשוני</t>
  </si>
  <si>
    <t>רפרטואר מגוון</t>
  </si>
  <si>
    <t>אתגר יוצא דופן</t>
  </si>
  <si>
    <t>מינימום הפקות חדשות</t>
  </si>
  <si>
    <t>פרמטרים לחישוב ניקוד רפרטואר</t>
  </si>
  <si>
    <t>פרמטרים לחישוב ניקוד מורכבות ההפקות</t>
  </si>
  <si>
    <t>מורכבות יחודית</t>
  </si>
  <si>
    <t>שיעור יחסי עבור משתנה ייחוד לשוני</t>
  </si>
  <si>
    <t>שיעור יחסי עבור משתנה הרפרטואר</t>
  </si>
  <si>
    <t>שיעור יחסי עבור משתנה עידוד יוצרים בתחילת דרכם</t>
  </si>
  <si>
    <t>שיעור יחסי עבור משתנה תרומה לקהילה וחינוך לתיאטרון</t>
  </si>
  <si>
    <t>פרמטרים לחישוב ניקוד תרומה לקהילה</t>
  </si>
  <si>
    <t>תרומה משמעותית</t>
  </si>
  <si>
    <t>תרומה יוצאת דופן</t>
  </si>
  <si>
    <t>עידוד משמעותי של הפקות פרינג'</t>
  </si>
  <si>
    <t>עידוד, ייעוץ, שיווק וליווי הפקות פרינג'</t>
  </si>
  <si>
    <t>שיעור יחסי עבור משתנה עידוד הפקות פרינג'</t>
  </si>
  <si>
    <t>כמות ההפקות</t>
  </si>
  <si>
    <t>כמות ההרצות</t>
  </si>
  <si>
    <t>מיקום התיאטרון</t>
  </si>
  <si>
    <t>מיקום ההרצות</t>
  </si>
  <si>
    <t>הוותק</t>
  </si>
  <si>
    <t>הייחוד הלשוני</t>
  </si>
  <si>
    <t>רפרטואר</t>
  </si>
  <si>
    <t>מורכבות ההפקה</t>
  </si>
  <si>
    <t>עידוד יוצרים</t>
  </si>
  <si>
    <t>תרומה לקהילה</t>
  </si>
  <si>
    <t>עידוד הפקות פרינג'</t>
  </si>
  <si>
    <t>התחשיב הבסיסי</t>
  </si>
  <si>
    <t>שיעור התמיכה</t>
  </si>
  <si>
    <t>תמיכה</t>
  </si>
  <si>
    <t>תמיכה בסיסית</t>
  </si>
  <si>
    <t>תאגיד מוסדי</t>
  </si>
  <si>
    <t>אינו תאגיד מוסדי</t>
  </si>
  <si>
    <t>תמיכה נוספת ממקורות אחרים</t>
  </si>
  <si>
    <t>תיאטרון לאומי</t>
  </si>
  <si>
    <t>מכפלת השקלים שמזכה בתוספת</t>
  </si>
  <si>
    <t>התוספת לכל מכפלה</t>
  </si>
  <si>
    <t>תוספת תמיכה בגין מקורות אחרים</t>
  </si>
  <si>
    <t>תקציב</t>
  </si>
  <si>
    <t>תאגיד מוסדי או תיאטרון לאומי</t>
  </si>
  <si>
    <t>סוג</t>
  </si>
  <si>
    <t>שיעור תמיכה</t>
  </si>
  <si>
    <t>תוספת בגין מקורות אחרים</t>
  </si>
  <si>
    <t>פרמטרים לחישוב תמיכה לאור שיעור מוסדי ותמיכה ממקורות אחרים</t>
  </si>
  <si>
    <t>תמיכה לאחר מוסדי או לאומי ותוספת בגין תמיכה ממקורות אחרים</t>
  </si>
  <si>
    <t>תמיכה
(לאחר מוסדי)</t>
  </si>
  <si>
    <t>תמיכה
(לאחר מקורות אחרים)</t>
  </si>
  <si>
    <t>שיעור תמיכה בשנה קודמת</t>
  </si>
  <si>
    <t>שיעור פיחות מירבי בתמיכה</t>
  </si>
  <si>
    <t>שיעור תמיכה מינימלי משנה קודמת</t>
  </si>
  <si>
    <t>חלק יחסי
(ללא מוגנים)</t>
  </si>
  <si>
    <t>מגנון הייצוב</t>
  </si>
  <si>
    <t>מנגנון ההגנה</t>
  </si>
  <si>
    <t>ערך</t>
  </si>
  <si>
    <t>פרמטרים לחישוב מנגנון ההגנה</t>
  </si>
  <si>
    <t>תמיכה לאחר הפחתות בגין חרידות שכר</t>
  </si>
  <si>
    <t>חריגות שכר</t>
  </si>
  <si>
    <t>מכפלת חריגה</t>
  </si>
  <si>
    <t>פרמטרים לחישוב הפחתות בגין חריגות שכר</t>
  </si>
  <si>
    <t>אחוז הגירעון / העודף מהתקציב</t>
  </si>
  <si>
    <t>אחוז הגירעון / העודף המצטבר מהתקציב</t>
  </si>
  <si>
    <t>שיעור תמיכה יחסי</t>
  </si>
  <si>
    <t>תמיכה לאחר בונוס תקציב</t>
  </si>
  <si>
    <t>פרמטרים לבחינת תקציב התיאטרון</t>
  </si>
  <si>
    <t>זכאות לבונוס
(0/1)</t>
  </si>
  <si>
    <t>תמיכה ע"פ המודל</t>
  </si>
  <si>
    <t>זכאי להגנה בשנה זו
(0/1)</t>
  </si>
  <si>
    <t>הפעלת הגנה
(0/1)</t>
  </si>
  <si>
    <t>פרמטרים לחישוב ניקוד עידוד יוצרים</t>
  </si>
  <si>
    <t>ביטוי משמעותי ליוצרים בתחילת דרכם</t>
  </si>
  <si>
    <t>העשרה מקצועית וסדנאות ליוצרים בתחילת דרכם</t>
  </si>
  <si>
    <t>פרמטרים לחישוב ניקוד עידוד הפקות פרינג'</t>
  </si>
  <si>
    <t>שנת התקציב</t>
  </si>
  <si>
    <t>תקציב שנתי</t>
  </si>
  <si>
    <t>מקדם סיווג</t>
  </si>
  <si>
    <t>ניקוד הפקות לפני סיווג</t>
  </si>
  <si>
    <t>שיעור יחסי במשתנה כמות הפקות</t>
  </si>
  <si>
    <t>שיעור יחסי במשתנה כמות הרצות</t>
  </si>
  <si>
    <t>שיעור יחסי</t>
  </si>
  <si>
    <t>ניקוד הרצות לפני סיווג</t>
  </si>
  <si>
    <t>לפחות 70% מהעובדים 0/1</t>
  </si>
  <si>
    <t>לפחות 50% מהחזרות 0/1</t>
  </si>
  <si>
    <t>שיעור יחסי עבור משתנה מורכבות הפקות</t>
  </si>
  <si>
    <t>מורכבות הפקות 0/1/2</t>
  </si>
  <si>
    <t>תרומה לקהילה 0/1/2</t>
  </si>
  <si>
    <t>עידוד הפקות פרינג' 0/1/2</t>
  </si>
  <si>
    <t>ניקוד עידוד הפקות פרינג'</t>
  </si>
  <si>
    <t>תאגיד מוסדי 0/1
(2 - לאומי)</t>
  </si>
  <si>
    <t>תמיכה בשנה קודמת</t>
  </si>
  <si>
    <t>ממוצע שיעורי התמיכה
(שיעור יחסי אחרי ייצוב)</t>
  </si>
  <si>
    <t>סכום לאחר ייצוב</t>
  </si>
  <si>
    <t>שיעור יחסי
(לאחר מוסדי ומקורות אחרים)</t>
  </si>
  <si>
    <t>סכום לאחר מקורות אחרים</t>
  </si>
  <si>
    <t>סכום בסיסי</t>
  </si>
  <si>
    <t>מגנון ההגנה</t>
  </si>
  <si>
    <t>שיעור ביחס לשנה קודמת</t>
  </si>
  <si>
    <t>שיעור יחסי
(הרצה 1)</t>
  </si>
  <si>
    <t>שיעור לאחר הפעלת הגנה</t>
  </si>
  <si>
    <t>סכום לאחר הגנה</t>
  </si>
  <si>
    <t>סה"כ חריגה</t>
  </si>
  <si>
    <t>סכום לאחר חריגות שכר</t>
  </si>
  <si>
    <t>סכום לאחר קיזוז חריגות</t>
  </si>
  <si>
    <t>שיעור
(לאחר בונוס גרעון)</t>
  </si>
  <si>
    <t>שיעור יחסי
(שיעור התמיכה)</t>
  </si>
  <si>
    <t>שיעור התמיכה וסכום התמיכה לפי המודל</t>
  </si>
  <si>
    <t>בית לסין</t>
  </si>
  <si>
    <t>חיפה</t>
  </si>
  <si>
    <t>גשר</t>
  </si>
  <si>
    <t>החאן</t>
  </si>
  <si>
    <t>אורנה פורת</t>
  </si>
  <si>
    <t>ארצי לנוער</t>
  </si>
  <si>
    <t>בית הגפן</t>
  </si>
  <si>
    <t>הנפש</t>
  </si>
  <si>
    <t>השעה</t>
  </si>
  <si>
    <t>סיווג התיאטרון</t>
  </si>
  <si>
    <t>הקרון</t>
  </si>
  <si>
    <t>משקל המשתנים בתחשיב הבסיסי</t>
  </si>
  <si>
    <t>משתנה</t>
  </si>
  <si>
    <t>משקל</t>
  </si>
  <si>
    <t>סיווג התיאטרונים</t>
  </si>
  <si>
    <t>בונוס עבור עמידה במגבלות חריגה תקציבית</t>
  </si>
  <si>
    <t>גרעון שוטף</t>
  </si>
  <si>
    <t>גרעון מצטבר</t>
  </si>
  <si>
    <t>שיעור הבונוס</t>
  </si>
  <si>
    <t>תנאים מצטברים</t>
  </si>
  <si>
    <t>שיעור</t>
  </si>
  <si>
    <t>סכום זמני לאחר בונוס</t>
  </si>
  <si>
    <t>באר שבע</t>
  </si>
  <si>
    <t>היידישפיל</t>
  </si>
  <si>
    <t>הזירה הבין תחומית</t>
  </si>
  <si>
    <t>הספרייה</t>
  </si>
  <si>
    <t>הקיבוץ</t>
  </si>
  <si>
    <t>רפרטואר
0/1/2/3/4</t>
  </si>
  <si>
    <t>עידוד יוצרים 0/1/1.5/2</t>
  </si>
  <si>
    <t>ללא סיווג</t>
  </si>
  <si>
    <t>בדיקת סיווג</t>
  </si>
  <si>
    <t>שיעור יחסי
אחרי ייצוב</t>
  </si>
  <si>
    <t>מוגן
(0/1)</t>
  </si>
  <si>
    <t>זכאות להגנה אך בעיית הגנה</t>
  </si>
  <si>
    <t>עיצוב מותנה</t>
  </si>
  <si>
    <t>בדיקת הזנה</t>
  </si>
  <si>
    <t>שיעור יחסי אחרי יצוב ובדיקת תיאטרונים ללא סיווג</t>
  </si>
  <si>
    <t>קיצוץ תקציבי לנטרול</t>
  </si>
  <si>
    <t>תמיכה שנה קודמת</t>
  </si>
  <si>
    <t>הפרש</t>
  </si>
  <si>
    <t>סכום</t>
  </si>
  <si>
    <t>עודף / גרעון שוטף לאחר נטרול קיצוץ תקציבי</t>
  </si>
  <si>
    <t>עודף / גרעון מצטבר לאחר נטרול קיצוץ תקציבי</t>
  </si>
  <si>
    <t>עדי</t>
  </si>
  <si>
    <t>מדייטק</t>
  </si>
  <si>
    <t>חני</t>
  </si>
  <si>
    <t>אספקלריא</t>
  </si>
  <si>
    <t>וודא/י כי סדר השמות זהה לקובץ העזר</t>
  </si>
  <si>
    <t>עכו</t>
  </si>
  <si>
    <t>אינקובטור</t>
  </si>
  <si>
    <t xml:space="preserve">גשן </t>
  </si>
  <si>
    <t>גליון ריק 2</t>
  </si>
  <si>
    <t>גליון ריק 3</t>
  </si>
  <si>
    <t>נתון עזר- האם ישנה חריגה</t>
  </si>
  <si>
    <t>סכום לאחר חריגות שכר- נתון עזר 2</t>
  </si>
  <si>
    <t>ניקוד ההרצות</t>
  </si>
  <si>
    <t>הייחוד התרבותי</t>
  </si>
  <si>
    <t>ניקוד לפריפריה</t>
  </si>
  <si>
    <t>מיקומו הגאוגרפי של המוסד הוא בפריפריה</t>
  </si>
  <si>
    <t>הפחתה בגין מוסד שנמנע מקיום הרצות באזורים שונים</t>
  </si>
  <si>
    <t xml:space="preserve">הרצות שבוצעו מחוץ למקום הפעילות המרכזי </t>
  </si>
  <si>
    <t xml:space="preserve">הרצות שבוצעו במקום הפעילות המרכזי </t>
  </si>
  <si>
    <t>הרצות שבוצעו ביהודה ושומרון</t>
  </si>
  <si>
    <t>E1</t>
  </si>
  <si>
    <t>E2</t>
  </si>
  <si>
    <t>F1</t>
  </si>
  <si>
    <t>F2</t>
  </si>
  <si>
    <t>G1</t>
  </si>
  <si>
    <t>G2</t>
  </si>
  <si>
    <t>H1</t>
  </si>
  <si>
    <t>H2</t>
  </si>
  <si>
    <t>זכאי לבונוס בגין הרצות ביהודה ושומרון- נתון עזר</t>
  </si>
  <si>
    <t>המוסד זכאי לתוספת</t>
  </si>
  <si>
    <t>המוסד נמנע מקיום הרצות ולכן יש להפחית מניקודו</t>
  </si>
  <si>
    <t>בונוס בגין הרצות ביהודה ושומרון- נתון עזר</t>
  </si>
  <si>
    <t>מקדם</t>
  </si>
  <si>
    <t>תל אביב והסביבה (עד 30 ק"מ) - סייוג 1</t>
  </si>
  <si>
    <t>תל אביב והסביבה (עד 30 ק"מ) - סייוג 2</t>
  </si>
  <si>
    <t>30 עד 59 ק"מ מתל אביב - סייוג 1</t>
  </si>
  <si>
    <t>30 עד 59 ק"מ מתל אביב - סייוג 2</t>
  </si>
  <si>
    <t>60 עד 100 ק"מ מתל אביב - סיווג 1</t>
  </si>
  <si>
    <t>60 עד 100 ק"מ מתל אביב - סיווג 2</t>
  </si>
  <si>
    <t>מעל 100 ק"מ מתל אביב - סייוג 1</t>
  </si>
  <si>
    <t>מעל 100 ק"מ מתל אביב - סייוג 2</t>
  </si>
  <si>
    <t>הרצות שבוצעו מחוץ למקום הפעילות המרכזי</t>
  </si>
  <si>
    <t>מקדם למוסדות שקיימו הרצות ביהודה, שומרון, הנגב או הגליל</t>
  </si>
  <si>
    <t>הפחתה בגין מוסדות שסירבו לבצע הרצות ביהודה, שורון, הנגב או הגליל</t>
  </si>
  <si>
    <t>ייחוד תרבותי
(0/1)</t>
  </si>
  <si>
    <t>ניקוד ייחוד תרבותי</t>
  </si>
  <si>
    <t>שם המוסד</t>
  </si>
  <si>
    <t>אינדיקציית הגנה 1</t>
  </si>
  <si>
    <t>גובה התמיכה</t>
  </si>
  <si>
    <t>פרמטר לטובת הוראות מעבר&gt;&gt;&gt;&gt;&gt;&gt;</t>
  </si>
  <si>
    <t>תקציב שנה קודמת</t>
  </si>
  <si>
    <t>מנגנון התוספת בגין הרכב חברי הועדה</t>
  </si>
  <si>
    <t>מוסד אשר מספר הנשים החברות בוועד המנהל שלו לעומת כלל חברי הוועד המנהל גדול מ:</t>
  </si>
  <si>
    <t>תגדל התמיכה בו ב:</t>
  </si>
  <si>
    <t>מספר הנשים החברות בוועד המנהל</t>
  </si>
  <si>
    <t>מספר כלל חברי הוועד המנהל</t>
  </si>
  <si>
    <t>אחוז הנשים מכלל חברי הועד המנהל</t>
  </si>
  <si>
    <t>המוסד זכאי לתוספת בגין הרכב הועדה (0/1)</t>
  </si>
  <si>
    <t>שיעור תמיכה לאחר הגנה</t>
  </si>
  <si>
    <t>מס' הפקות חדשות</t>
  </si>
  <si>
    <t xml:space="preserve">מס' הפקות </t>
  </si>
  <si>
    <t>הפקות</t>
  </si>
  <si>
    <t>הפקות חדשות</t>
  </si>
  <si>
    <t>הרצות</t>
  </si>
  <si>
    <t>סיווג עפ"י המלצת המדור</t>
  </si>
  <si>
    <t>סיווג לתיאטרון ילדים</t>
  </si>
  <si>
    <t>סיווג לתיאטרון לא ילדים</t>
  </si>
  <si>
    <t>בוצעו הרצות ביהודה ושומרון 1=כן 0=לא</t>
  </si>
  <si>
    <t>הרצות באולם הבית</t>
  </si>
  <si>
    <t>הרצות מחוץ לאולם הבית</t>
  </si>
  <si>
    <t>הציג תוכנית הבראה (כן/לא)</t>
  </si>
  <si>
    <t>יש להציג תוכנית הבראה</t>
  </si>
  <si>
    <t>כן</t>
  </si>
  <si>
    <t>לא</t>
  </si>
  <si>
    <t>מוסד לא יהיה זכאי לתמיכה כל עוד לא הציג תוכנית הבראה במידה ו:</t>
  </si>
  <si>
    <t>גרעון שוטף גבוה מ:</t>
  </si>
  <si>
    <t>תנאים מתחלפים</t>
  </si>
  <si>
    <t>גרעון מצטבר גבוה מ:</t>
  </si>
  <si>
    <t>נדרשת תכנית הבראה?</t>
  </si>
  <si>
    <t>תיאטרון העברי</t>
  </si>
  <si>
    <t>תקציב השנה</t>
  </si>
  <si>
    <t>חסר נתון</t>
  </si>
  <si>
    <t>בדוק נתוני הזנה</t>
  </si>
  <si>
    <t>גובה תמיכה שנה שעברה</t>
  </si>
  <si>
    <t>בדיקה</t>
  </si>
  <si>
    <t>סכום תמיכה מינימאלי משנה קודמת</t>
  </si>
  <si>
    <t>תוספת לחלוקה עד סכום לפני הגנה במגבלת תקציב</t>
  </si>
  <si>
    <t>תוספת לחלוקה עד סכום כולל</t>
  </si>
  <si>
    <t>בקרת על</t>
  </si>
  <si>
    <t>סכום תמיכה לפני הגנה</t>
  </si>
  <si>
    <t>זכאי להגנה</t>
  </si>
  <si>
    <t>זקוק להגנה</t>
  </si>
  <si>
    <t>איפוס סכום להגנה</t>
  </si>
  <si>
    <t>סכום שהופחת בעקבות הגנה</t>
  </si>
  <si>
    <t>הרצה תוספת סכום חדש עד גובה לפני הגנה</t>
  </si>
  <si>
    <t>הרצת תוספת סכום חדש מעל גובה תחשיב בסיסי</t>
  </si>
  <si>
    <t>0/1</t>
  </si>
  <si>
    <t>בקרת נתון זכאי להגנה</t>
  </si>
  <si>
    <t>שינוי באחוזים משנה קודמת</t>
  </si>
  <si>
    <t>יפו</t>
  </si>
  <si>
    <t>נמנע  מלקיים פעילות בגליל (0/1)</t>
  </si>
  <si>
    <t>נמנע  מלקיים פעילות בנגב (0/1)</t>
  </si>
  <si>
    <t>נמנע  מלקיים פעילות ביהודה ושומרון (0/1)</t>
  </si>
  <si>
    <t>לא יפחת סכום התמיכה של תיאטרון מסכום של שנה קודמת ביותר מ:</t>
  </si>
  <si>
    <t>סיווג לפני אישור מיוחד</t>
  </si>
  <si>
    <t>אישור המדור לסיווג למרות אי-עמידה בתנאי אחד</t>
  </si>
  <si>
    <t>אישור מיוחד למעבר תנאי סף-סיווג כתיאטרון קטן</t>
  </si>
  <si>
    <t>ניקוד תרומה לקהילה</t>
  </si>
  <si>
    <t>תיאטרון אלמידאן</t>
  </si>
  <si>
    <t/>
  </si>
  <si>
    <t>שיעור תמיכה לאחר גירעון</t>
  </si>
  <si>
    <t>שיעור תמיכה לאחר הרכב חברי ועדה</t>
  </si>
  <si>
    <t>גובה התמיכה לאחר הרכב חברי ועדה</t>
  </si>
  <si>
    <t xml:space="preserve">שיעור תמיכה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</si>
</sst>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2" formatCode="_ &quot;₪&quot;\ * #,##0_ ;_ &quot;₪&quot;\ * \-#,##0_ ;_ &quot;₪&quot;\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0.0%"/>
    <numFmt numFmtId="165" formatCode="&quot;₪&quot;\ #,##0"/>
    <numFmt numFmtId="166" formatCode="0.0000%"/>
    <numFmt numFmtId="167" formatCode="0.000%"/>
    <numFmt numFmtId="168" formatCode="&quot;₪&quot;\ &quot;ממוצע - &quot;\ \ #,##0\ "/>
    <numFmt numFmtId="169" formatCode="&quot;₪&quot;\ #,##0.0"/>
    <numFmt numFmtId="170" formatCode="#,##0.0"/>
    <numFmt numFmtId="171" formatCode="\א\ם\ \פ\ח\ו\ת\ \מ\-\ 0%\ \א\ז\ \1"/>
    <numFmt numFmtId="172" formatCode="0.0000000000000000%"/>
    <numFmt numFmtId="173" formatCode="&quot;ממוצע - &quot;\ 0.000%"/>
    <numFmt numFmtId="174" formatCode="&quot;₪&quot;\ #,##0.00"/>
    <numFmt numFmtId="175" formatCode="#,##0_ ;\-#,##0\ "/>
    <numFmt numFmtId="176" formatCode="0.0"/>
    <numFmt numFmtId="177" formatCode="_ * #,##0_ ;_ * \-#,##0_ ;_ * &quot;-&quot;??_ ;_ @_ "/>
    <numFmt numFmtId="178" formatCode="_ &quot;₪&quot;\ * #,##0_ ;_ &quot;₪&quot;\ * \-#,##0_ ;_ &quot;₪&quot;\ * &quot;-&quot;??_ ;_ @_ "/>
  </numFmts>
  <fonts count="65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16"/>
      <name val="Arial"/>
      <family val="2"/>
    </font>
    <font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32"/>
      <name val="Arial"/>
      <family val="2"/>
    </font>
    <font>
      <b/>
      <sz val="8"/>
      <name val="Arial"/>
      <family val="2"/>
    </font>
    <font>
      <b/>
      <sz val="9"/>
      <color indexed="16"/>
      <name val="Arial"/>
      <family val="2"/>
    </font>
    <font>
      <b/>
      <sz val="12"/>
      <name val="Narkisim"/>
      <family val="2"/>
      <charset val="177"/>
    </font>
    <font>
      <b/>
      <sz val="14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indexed="18"/>
      <name val="Arial"/>
      <family val="2"/>
    </font>
    <font>
      <b/>
      <sz val="14"/>
      <color indexed="16"/>
      <name val="Arial"/>
      <family val="2"/>
    </font>
    <font>
      <b/>
      <sz val="14"/>
      <color indexed="32"/>
      <name val="Arial"/>
      <family val="2"/>
    </font>
    <font>
      <b/>
      <sz val="12"/>
      <color indexed="18"/>
      <name val="Arial"/>
      <family val="2"/>
    </font>
    <font>
      <b/>
      <sz val="14"/>
      <color indexed="16"/>
      <name val="Arial"/>
      <family val="2"/>
    </font>
    <font>
      <b/>
      <sz val="14"/>
      <color indexed="18"/>
      <name val="Arial"/>
      <family val="2"/>
    </font>
    <font>
      <b/>
      <sz val="12"/>
      <name val="David"/>
      <family val="2"/>
      <charset val="177"/>
    </font>
    <font>
      <b/>
      <sz val="12"/>
      <color indexed="16"/>
      <name val="David"/>
      <family val="2"/>
      <charset val="177"/>
    </font>
    <font>
      <b/>
      <sz val="10"/>
      <name val="David"/>
      <family val="2"/>
      <charset val="177"/>
    </font>
    <font>
      <sz val="8"/>
      <color indexed="81"/>
      <name val="Tahoma"/>
      <family val="2"/>
    </font>
    <font>
      <sz val="12"/>
      <name val="David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sz val="12"/>
      <color theme="1"/>
      <name val="David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sz val="11"/>
      <color theme="1"/>
      <name val="Arial"/>
      <family val="2"/>
      <scheme val="minor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2"/>
      <name val="David"/>
      <family val="2"/>
    </font>
    <font>
      <b/>
      <sz val="14"/>
      <color theme="0"/>
      <name val="David"/>
      <family val="2"/>
    </font>
    <font>
      <sz val="10"/>
      <name val="David"/>
      <family val="2"/>
    </font>
    <font>
      <b/>
      <sz val="10"/>
      <name val="David"/>
      <family val="2"/>
    </font>
    <font>
      <b/>
      <sz val="14"/>
      <name val="David"/>
      <family val="2"/>
    </font>
    <font>
      <sz val="10"/>
      <name val="Arial"/>
      <family val="2"/>
    </font>
    <font>
      <b/>
      <sz val="12"/>
      <color theme="1"/>
      <name val="David"/>
      <family val="2"/>
      <charset val="177"/>
    </font>
    <font>
      <sz val="12"/>
      <name val="David"/>
      <family val="2"/>
      <charset val="177"/>
    </font>
    <font>
      <b/>
      <sz val="14"/>
      <color theme="1"/>
      <name val="David"/>
      <family val="2"/>
    </font>
    <font>
      <sz val="10"/>
      <color theme="0"/>
      <name val="Arial"/>
      <family val="2"/>
    </font>
    <font>
      <b/>
      <sz val="12"/>
      <color theme="0"/>
      <name val="David"/>
      <family val="2"/>
    </font>
    <font>
      <b/>
      <sz val="9"/>
      <color indexed="18"/>
      <name val="David"/>
      <family val="2"/>
    </font>
    <font>
      <sz val="9"/>
      <color theme="1"/>
      <name val="Arial"/>
      <family val="2"/>
      <scheme val="minor"/>
    </font>
    <font>
      <b/>
      <sz val="28"/>
      <color rgb="FFFF0000"/>
      <name val="David"/>
      <family val="2"/>
    </font>
  </fonts>
  <fills count="4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37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6">
    <xf numFmtId="0" fontId="0" fillId="0" borderId="0"/>
    <xf numFmtId="0" fontId="9" fillId="0" borderId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4" borderId="0" applyNumberFormat="0" applyBorder="0" applyAlignment="0" applyProtection="0"/>
    <xf numFmtId="0" fontId="32" fillId="18" borderId="0" applyNumberFormat="0" applyBorder="0" applyAlignment="0" applyProtection="0"/>
    <xf numFmtId="0" fontId="33" fillId="35" borderId="103" applyNumberFormat="0" applyAlignment="0" applyProtection="0"/>
    <xf numFmtId="0" fontId="34" fillId="36" borderId="104" applyNumberFormat="0" applyAlignment="0" applyProtection="0"/>
    <xf numFmtId="43" fontId="4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19" borderId="0" applyNumberFormat="0" applyBorder="0" applyAlignment="0" applyProtection="0"/>
    <xf numFmtId="0" fontId="38" fillId="0" borderId="105" applyNumberFormat="0" applyFill="0" applyAlignment="0" applyProtection="0"/>
    <xf numFmtId="0" fontId="39" fillId="0" borderId="106" applyNumberFormat="0" applyFill="0" applyAlignment="0" applyProtection="0"/>
    <xf numFmtId="0" fontId="40" fillId="0" borderId="107" applyNumberFormat="0" applyFill="0" applyAlignment="0" applyProtection="0"/>
    <xf numFmtId="0" fontId="40" fillId="0" borderId="0" applyNumberFormat="0" applyFill="0" applyBorder="0" applyAlignment="0" applyProtection="0"/>
    <xf numFmtId="0" fontId="41" fillId="22" borderId="103" applyNumberFormat="0" applyAlignment="0" applyProtection="0"/>
    <xf numFmtId="0" fontId="42" fillId="0" borderId="108" applyNumberFormat="0" applyFill="0" applyAlignment="0" applyProtection="0"/>
    <xf numFmtId="0" fontId="43" fillId="37" borderId="0" applyNumberFormat="0" applyBorder="0" applyAlignment="0" applyProtection="0"/>
    <xf numFmtId="0" fontId="35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" fillId="0" borderId="0"/>
    <xf numFmtId="0" fontId="44" fillId="0" borderId="0"/>
    <xf numFmtId="0" fontId="4" fillId="38" borderId="109" applyNumberFormat="0" applyFont="0" applyAlignment="0" applyProtection="0"/>
    <xf numFmtId="0" fontId="45" fillId="35" borderId="110" applyNumberFormat="0" applyAlignment="0" applyProtection="0"/>
    <xf numFmtId="9" fontId="3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1" applyNumberFormat="0" applyFill="0" applyAlignment="0" applyProtection="0"/>
    <xf numFmtId="0" fontId="48" fillId="0" borderId="0" applyNumberFormat="0" applyFill="0" applyBorder="0" applyAlignment="0" applyProtection="0"/>
    <xf numFmtId="43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35" fillId="0" borderId="0"/>
    <xf numFmtId="43" fontId="35" fillId="0" borderId="0" applyFont="0" applyFill="0" applyBorder="0" applyAlignment="0" applyProtection="0"/>
    <xf numFmtId="0" fontId="1" fillId="0" borderId="0"/>
    <xf numFmtId="0" fontId="35" fillId="0" borderId="0"/>
    <xf numFmtId="9" fontId="35" fillId="0" borderId="0" applyFont="0" applyFill="0" applyBorder="0" applyAlignment="0" applyProtection="0"/>
  </cellStyleXfs>
  <cellXfs count="728">
    <xf numFmtId="0" fontId="0" fillId="0" borderId="0" xfId="0"/>
    <xf numFmtId="0" fontId="0" fillId="0" borderId="0" xfId="0" applyAlignment="1">
      <alignment horizontal="center"/>
    </xf>
    <xf numFmtId="1" fontId="8" fillId="2" borderId="4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1" fontId="8" fillId="2" borderId="6" xfId="0" applyNumberFormat="1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center" wrapText="1"/>
    </xf>
    <xf numFmtId="4" fontId="10" fillId="4" borderId="8" xfId="0" applyNumberFormat="1" applyFont="1" applyFill="1" applyBorder="1"/>
    <xf numFmtId="10" fontId="10" fillId="4" borderId="9" xfId="2" applyNumberFormat="1" applyFont="1" applyFill="1" applyBorder="1"/>
    <xf numFmtId="1" fontId="8" fillId="2" borderId="6" xfId="0" applyNumberFormat="1" applyFont="1" applyFill="1" applyBorder="1" applyAlignment="1" applyProtection="1">
      <alignment horizontal="center" vertical="center"/>
    </xf>
    <xf numFmtId="1" fontId="8" fillId="2" borderId="4" xfId="0" applyNumberFormat="1" applyFont="1" applyFill="1" applyBorder="1" applyAlignment="1" applyProtection="1">
      <alignment horizontal="center" vertical="center"/>
    </xf>
    <xf numFmtId="1" fontId="8" fillId="2" borderId="7" xfId="0" applyNumberFormat="1" applyFont="1" applyFill="1" applyBorder="1" applyAlignment="1" applyProtection="1">
      <alignment horizontal="center" vertical="center"/>
    </xf>
    <xf numFmtId="0" fontId="12" fillId="0" borderId="10" xfId="0" applyFont="1" applyBorder="1" applyAlignment="1">
      <alignment readingOrder="2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right" vertical="center" wrapText="1" readingOrder="2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right" vertical="center" wrapText="1" readingOrder="2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9" xfId="0" applyBorder="1"/>
    <xf numFmtId="1" fontId="13" fillId="2" borderId="6" xfId="0" applyNumberFormat="1" applyFont="1" applyFill="1" applyBorder="1" applyAlignment="1" applyProtection="1">
      <alignment horizontal="center" vertical="center"/>
    </xf>
    <xf numFmtId="1" fontId="13" fillId="2" borderId="4" xfId="0" applyNumberFormat="1" applyFont="1" applyFill="1" applyBorder="1" applyAlignment="1" applyProtection="1">
      <alignment horizontal="center" vertical="center"/>
    </xf>
    <xf numFmtId="1" fontId="13" fillId="2" borderId="7" xfId="0" applyNumberFormat="1" applyFont="1" applyFill="1" applyBorder="1" applyAlignment="1" applyProtection="1">
      <alignment horizontal="center" vertical="center"/>
    </xf>
    <xf numFmtId="0" fontId="7" fillId="0" borderId="11" xfId="0" applyNumberFormat="1" applyFont="1" applyFill="1" applyBorder="1" applyAlignment="1">
      <alignment horizontal="center"/>
    </xf>
    <xf numFmtId="0" fontId="12" fillId="0" borderId="20" xfId="0" applyFont="1" applyBorder="1" applyAlignment="1">
      <alignment horizontal="center" readingOrder="2"/>
    </xf>
    <xf numFmtId="0" fontId="12" fillId="0" borderId="21" xfId="0" applyFont="1" applyBorder="1" applyAlignment="1">
      <alignment horizontal="center" readingOrder="2"/>
    </xf>
    <xf numFmtId="0" fontId="12" fillId="0" borderId="13" xfId="0" applyFont="1" applyBorder="1" applyAlignment="1">
      <alignment horizontal="center" readingOrder="2"/>
    </xf>
    <xf numFmtId="0" fontId="12" fillId="0" borderId="14" xfId="0" applyFont="1" applyBorder="1" applyAlignment="1">
      <alignment horizontal="center" readingOrder="2"/>
    </xf>
    <xf numFmtId="0" fontId="12" fillId="0" borderId="17" xfId="0" applyFont="1" applyBorder="1" applyAlignment="1">
      <alignment horizontal="center" readingOrder="2"/>
    </xf>
    <xf numFmtId="0" fontId="12" fillId="0" borderId="22" xfId="0" applyFont="1" applyBorder="1" applyAlignment="1">
      <alignment horizontal="right" vertical="center" wrapText="1" readingOrder="2"/>
    </xf>
    <xf numFmtId="0" fontId="12" fillId="0" borderId="15" xfId="0" applyFont="1" applyBorder="1" applyAlignment="1">
      <alignment horizontal="right" vertical="center" wrapText="1" readingOrder="2"/>
    </xf>
    <xf numFmtId="0" fontId="12" fillId="0" borderId="18" xfId="0" applyFont="1" applyBorder="1" applyAlignment="1">
      <alignment horizontal="right" vertical="center" wrapText="1" readingOrder="2"/>
    </xf>
    <xf numFmtId="0" fontId="12" fillId="0" borderId="16" xfId="0" applyFont="1" applyBorder="1" applyAlignment="1">
      <alignment horizontal="center" readingOrder="1"/>
    </xf>
    <xf numFmtId="0" fontId="14" fillId="3" borderId="23" xfId="0" applyFont="1" applyFill="1" applyBorder="1" applyAlignment="1">
      <alignment horizontal="center" vertical="center" wrapText="1"/>
    </xf>
    <xf numFmtId="1" fontId="8" fillId="2" borderId="23" xfId="0" applyNumberFormat="1" applyFont="1" applyFill="1" applyBorder="1" applyAlignment="1">
      <alignment horizontal="center" vertical="center" wrapText="1"/>
    </xf>
    <xf numFmtId="1" fontId="8" fillId="2" borderId="24" xfId="0" applyNumberFormat="1" applyFont="1" applyFill="1" applyBorder="1" applyAlignment="1">
      <alignment horizontal="center" vertical="center" wrapText="1"/>
    </xf>
    <xf numFmtId="9" fontId="8" fillId="2" borderId="5" xfId="2" applyFont="1" applyFill="1" applyBorder="1" applyAlignment="1">
      <alignment horizontal="center" vertical="center" wrapText="1"/>
    </xf>
    <xf numFmtId="165" fontId="8" fillId="2" borderId="25" xfId="0" applyNumberFormat="1" applyFont="1" applyFill="1" applyBorder="1" applyAlignment="1">
      <alignment horizontal="center" vertical="center" wrapText="1"/>
    </xf>
    <xf numFmtId="9" fontId="11" fillId="4" borderId="8" xfId="0" applyNumberFormat="1" applyFont="1" applyFill="1" applyBorder="1" applyAlignment="1"/>
    <xf numFmtId="165" fontId="11" fillId="4" borderId="9" xfId="0" applyNumberFormat="1" applyFont="1" applyFill="1" applyBorder="1" applyAlignment="1"/>
    <xf numFmtId="165" fontId="10" fillId="4" borderId="8" xfId="0" applyNumberFormat="1" applyFont="1" applyFill="1" applyBorder="1"/>
    <xf numFmtId="165" fontId="10" fillId="4" borderId="8" xfId="0" applyNumberFormat="1" applyFont="1" applyFill="1" applyBorder="1" applyAlignment="1"/>
    <xf numFmtId="165" fontId="10" fillId="4" borderId="8" xfId="0" applyNumberFormat="1" applyFont="1" applyFill="1" applyBorder="1" applyAlignment="1">
      <alignment horizontal="right"/>
    </xf>
    <xf numFmtId="10" fontId="7" fillId="5" borderId="11" xfId="0" applyNumberFormat="1" applyFont="1" applyFill="1" applyBorder="1" applyAlignment="1">
      <alignment horizontal="center"/>
    </xf>
    <xf numFmtId="9" fontId="10" fillId="4" borderId="8" xfId="2" applyFont="1" applyFill="1" applyBorder="1"/>
    <xf numFmtId="165" fontId="7" fillId="5" borderId="11" xfId="0" applyNumberFormat="1" applyFont="1" applyFill="1" applyBorder="1" applyAlignment="1">
      <alignment horizontal="right"/>
    </xf>
    <xf numFmtId="165" fontId="10" fillId="4" borderId="9" xfId="2" applyNumberFormat="1" applyFont="1" applyFill="1" applyBorder="1"/>
    <xf numFmtId="1" fontId="13" fillId="2" borderId="2" xfId="0" applyNumberFormat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16" fillId="0" borderId="20" xfId="0" applyFont="1" applyBorder="1"/>
    <xf numFmtId="9" fontId="16" fillId="0" borderId="21" xfId="2" applyFont="1" applyBorder="1" applyAlignment="1">
      <alignment horizontal="center"/>
    </xf>
    <xf numFmtId="0" fontId="16" fillId="0" borderId="13" xfId="0" applyFont="1" applyBorder="1"/>
    <xf numFmtId="9" fontId="16" fillId="0" borderId="14" xfId="2" applyFont="1" applyBorder="1" applyAlignment="1">
      <alignment horizontal="center"/>
    </xf>
    <xf numFmtId="0" fontId="16" fillId="0" borderId="16" xfId="0" applyFont="1" applyBorder="1"/>
    <xf numFmtId="9" fontId="16" fillId="0" borderId="17" xfId="2" applyFont="1" applyBorder="1" applyAlignment="1">
      <alignment horizontal="center"/>
    </xf>
    <xf numFmtId="0" fontId="0" fillId="0" borderId="0" xfId="0" applyNumberFormat="1"/>
    <xf numFmtId="0" fontId="17" fillId="0" borderId="0" xfId="0" applyFont="1"/>
    <xf numFmtId="1" fontId="20" fillId="2" borderId="6" xfId="0" applyNumberFormat="1" applyFont="1" applyFill="1" applyBorder="1" applyAlignment="1">
      <alignment horizontal="center" vertical="center" wrapText="1"/>
    </xf>
    <xf numFmtId="1" fontId="20" fillId="2" borderId="4" xfId="0" applyNumberFormat="1" applyFont="1" applyFill="1" applyBorder="1" applyAlignment="1">
      <alignment horizontal="center" vertical="center" wrapText="1"/>
    </xf>
    <xf numFmtId="1" fontId="20" fillId="2" borderId="7" xfId="0" applyNumberFormat="1" applyFont="1" applyFill="1" applyBorder="1" applyAlignment="1">
      <alignment horizontal="center" vertical="center" wrapText="1"/>
    </xf>
    <xf numFmtId="10" fontId="19" fillId="4" borderId="8" xfId="0" applyNumberFormat="1" applyFont="1" applyFill="1" applyBorder="1" applyAlignment="1">
      <alignment horizontal="right"/>
    </xf>
    <xf numFmtId="165" fontId="7" fillId="0" borderId="11" xfId="0" applyNumberFormat="1" applyFont="1" applyFill="1" applyBorder="1" applyAlignment="1" applyProtection="1">
      <alignment horizontal="right"/>
      <protection locked="0"/>
    </xf>
    <xf numFmtId="165" fontId="7" fillId="0" borderId="28" xfId="0" applyNumberFormat="1" applyFont="1" applyFill="1" applyBorder="1" applyAlignment="1" applyProtection="1">
      <alignment horizontal="right"/>
      <protection locked="0"/>
    </xf>
    <xf numFmtId="0" fontId="7" fillId="0" borderId="21" xfId="0" applyNumberFormat="1" applyFont="1" applyFill="1" applyBorder="1" applyAlignment="1" applyProtection="1">
      <alignment horizontal="center"/>
      <protection locked="0"/>
    </xf>
    <xf numFmtId="0" fontId="7" fillId="0" borderId="14" xfId="0" applyNumberFormat="1" applyFont="1" applyFill="1" applyBorder="1" applyAlignment="1" applyProtection="1">
      <alignment horizontal="center"/>
      <protection locked="0"/>
    </xf>
    <xf numFmtId="0" fontId="7" fillId="0" borderId="17" xfId="0" applyNumberFormat="1" applyFont="1" applyFill="1" applyBorder="1" applyAlignment="1" applyProtection="1">
      <alignment horizontal="center"/>
      <protection locked="0"/>
    </xf>
    <xf numFmtId="0" fontId="7" fillId="0" borderId="11" xfId="0" applyNumberFormat="1" applyFont="1" applyFill="1" applyBorder="1" applyAlignment="1" applyProtection="1">
      <alignment horizontal="center"/>
      <protection locked="0"/>
    </xf>
    <xf numFmtId="0" fontId="7" fillId="0" borderId="14" xfId="2" applyNumberFormat="1" applyFont="1" applyFill="1" applyBorder="1" applyAlignment="1" applyProtection="1">
      <alignment horizontal="center"/>
      <protection locked="0"/>
    </xf>
    <xf numFmtId="10" fontId="7" fillId="0" borderId="14" xfId="2" applyNumberFormat="1" applyFont="1" applyFill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165" fontId="0" fillId="0" borderId="14" xfId="0" applyNumberFormat="1" applyBorder="1" applyAlignment="1" applyProtection="1">
      <alignment horizontal="center"/>
      <protection locked="0"/>
    </xf>
    <xf numFmtId="0" fontId="0" fillId="6" borderId="0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1" fontId="7" fillId="7" borderId="10" xfId="0" applyNumberFormat="1" applyFont="1" applyFill="1" applyBorder="1" applyAlignment="1">
      <alignment horizontal="center"/>
    </xf>
    <xf numFmtId="1" fontId="7" fillId="7" borderId="11" xfId="0" applyNumberFormat="1" applyFont="1" applyFill="1" applyBorder="1" applyAlignment="1">
      <alignment horizontal="right"/>
    </xf>
    <xf numFmtId="1" fontId="7" fillId="7" borderId="13" xfId="0" applyNumberFormat="1" applyFont="1" applyFill="1" applyBorder="1" applyAlignment="1">
      <alignment horizontal="center"/>
    </xf>
    <xf numFmtId="1" fontId="7" fillId="7" borderId="14" xfId="0" applyNumberFormat="1" applyFont="1" applyFill="1" applyBorder="1" applyAlignment="1">
      <alignment horizontal="right"/>
    </xf>
    <xf numFmtId="1" fontId="7" fillId="7" borderId="31" xfId="0" applyNumberFormat="1" applyFont="1" applyFill="1" applyBorder="1" applyAlignment="1">
      <alignment horizontal="center"/>
    </xf>
    <xf numFmtId="1" fontId="7" fillId="7" borderId="32" xfId="0" applyNumberFormat="1" applyFont="1" applyFill="1" applyBorder="1" applyAlignment="1">
      <alignment horizontal="right"/>
    </xf>
    <xf numFmtId="0" fontId="7" fillId="7" borderId="11" xfId="0" applyNumberFormat="1" applyFont="1" applyFill="1" applyBorder="1" applyAlignment="1" applyProtection="1">
      <alignment horizontal="center"/>
    </xf>
    <xf numFmtId="2" fontId="7" fillId="7" borderId="11" xfId="0" applyNumberFormat="1" applyFont="1" applyFill="1" applyBorder="1" applyAlignment="1" applyProtection="1">
      <alignment horizontal="right"/>
    </xf>
    <xf numFmtId="10" fontId="7" fillId="7" borderId="15" xfId="2" applyNumberFormat="1" applyFont="1" applyFill="1" applyBorder="1" applyAlignment="1">
      <alignment horizontal="center"/>
    </xf>
    <xf numFmtId="0" fontId="7" fillId="7" borderId="21" xfId="0" applyNumberFormat="1" applyFont="1" applyFill="1" applyBorder="1" applyAlignment="1">
      <alignment horizontal="center"/>
    </xf>
    <xf numFmtId="0" fontId="7" fillId="7" borderId="14" xfId="0" applyNumberFormat="1" applyFont="1" applyFill="1" applyBorder="1" applyAlignment="1">
      <alignment horizontal="center"/>
    </xf>
    <xf numFmtId="0" fontId="7" fillId="7" borderId="17" xfId="0" applyNumberFormat="1" applyFont="1" applyFill="1" applyBorder="1" applyAlignment="1">
      <alignment horizontal="center"/>
    </xf>
    <xf numFmtId="2" fontId="7" fillId="7" borderId="11" xfId="0" applyNumberFormat="1" applyFont="1" applyFill="1" applyBorder="1" applyAlignment="1">
      <alignment horizontal="center"/>
    </xf>
    <xf numFmtId="10" fontId="7" fillId="7" borderId="12" xfId="2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7" fillId="7" borderId="14" xfId="2" applyNumberFormat="1" applyFont="1" applyFill="1" applyBorder="1" applyAlignment="1">
      <alignment horizontal="center"/>
    </xf>
    <xf numFmtId="10" fontId="7" fillId="7" borderId="21" xfId="2" applyNumberFormat="1" applyFont="1" applyFill="1" applyBorder="1" applyAlignment="1">
      <alignment horizontal="center"/>
    </xf>
    <xf numFmtId="2" fontId="7" fillId="7" borderId="21" xfId="0" applyNumberFormat="1" applyFont="1" applyFill="1" applyBorder="1" applyAlignment="1">
      <alignment horizontal="center"/>
    </xf>
    <xf numFmtId="2" fontId="7" fillId="7" borderId="14" xfId="0" applyNumberFormat="1" applyFont="1" applyFill="1" applyBorder="1" applyAlignment="1">
      <alignment horizontal="center"/>
    </xf>
    <xf numFmtId="2" fontId="7" fillId="7" borderId="17" xfId="0" applyNumberFormat="1" applyFont="1" applyFill="1" applyBorder="1" applyAlignment="1">
      <alignment horizontal="center"/>
    </xf>
    <xf numFmtId="10" fontId="7" fillId="7" borderId="11" xfId="0" applyNumberFormat="1" applyFont="1" applyFill="1" applyBorder="1" applyAlignment="1">
      <alignment horizontal="center"/>
    </xf>
    <xf numFmtId="10" fontId="7" fillId="7" borderId="11" xfId="2" applyNumberFormat="1" applyFont="1" applyFill="1" applyBorder="1" applyAlignment="1">
      <alignment horizontal="center"/>
    </xf>
    <xf numFmtId="165" fontId="7" fillId="8" borderId="12" xfId="2" applyNumberFormat="1" applyFont="1" applyFill="1" applyBorder="1" applyAlignment="1">
      <alignment horizontal="center"/>
    </xf>
    <xf numFmtId="0" fontId="0" fillId="0" borderId="0" xfId="0" applyBorder="1"/>
    <xf numFmtId="1" fontId="13" fillId="2" borderId="6" xfId="0" applyNumberFormat="1" applyFont="1" applyFill="1" applyBorder="1" applyAlignment="1" applyProtection="1">
      <alignment horizontal="center" vertical="center" wrapText="1"/>
    </xf>
    <xf numFmtId="165" fontId="7" fillId="7" borderId="11" xfId="0" applyNumberFormat="1" applyFont="1" applyFill="1" applyBorder="1" applyAlignment="1"/>
    <xf numFmtId="165" fontId="7" fillId="7" borderId="11" xfId="0" applyNumberFormat="1" applyFont="1" applyFill="1" applyBorder="1" applyAlignment="1">
      <alignment horizontal="right"/>
    </xf>
    <xf numFmtId="169" fontId="7" fillId="7" borderId="11" xfId="0" applyNumberFormat="1" applyFont="1" applyFill="1" applyBorder="1" applyAlignment="1">
      <alignment horizontal="right"/>
    </xf>
    <xf numFmtId="10" fontId="7" fillId="7" borderId="33" xfId="2" applyNumberFormat="1" applyFont="1" applyFill="1" applyBorder="1" applyAlignment="1">
      <alignment horizontal="center"/>
    </xf>
    <xf numFmtId="165" fontId="7" fillId="8" borderId="34" xfId="2" applyNumberFormat="1" applyFont="1" applyFill="1" applyBorder="1" applyAlignment="1">
      <alignment horizontal="right"/>
    </xf>
    <xf numFmtId="10" fontId="7" fillId="7" borderId="21" xfId="0" applyNumberFormat="1" applyFont="1" applyFill="1" applyBorder="1" applyAlignment="1" applyProtection="1">
      <alignment horizontal="center"/>
    </xf>
    <xf numFmtId="10" fontId="7" fillId="7" borderId="14" xfId="0" applyNumberFormat="1" applyFont="1" applyFill="1" applyBorder="1" applyAlignment="1" applyProtection="1">
      <alignment horizontal="center"/>
    </xf>
    <xf numFmtId="10" fontId="7" fillId="7" borderId="17" xfId="0" applyNumberFormat="1" applyFont="1" applyFill="1" applyBorder="1" applyAlignment="1" applyProtection="1">
      <alignment horizontal="center"/>
    </xf>
    <xf numFmtId="0" fontId="0" fillId="0" borderId="0" xfId="0" applyProtection="1"/>
    <xf numFmtId="1" fontId="8" fillId="2" borderId="6" xfId="0" applyNumberFormat="1" applyFont="1" applyFill="1" applyBorder="1" applyAlignment="1" applyProtection="1">
      <alignment horizontal="center" vertical="center" wrapText="1"/>
    </xf>
    <xf numFmtId="1" fontId="8" fillId="2" borderId="4" xfId="0" applyNumberFormat="1" applyFont="1" applyFill="1" applyBorder="1" applyAlignment="1" applyProtection="1">
      <alignment horizontal="center" vertical="center" wrapText="1"/>
    </xf>
    <xf numFmtId="1" fontId="8" fillId="2" borderId="7" xfId="0" applyNumberFormat="1" applyFont="1" applyFill="1" applyBorder="1" applyAlignment="1" applyProtection="1">
      <alignment horizontal="center" vertical="center" wrapText="1"/>
    </xf>
    <xf numFmtId="1" fontId="7" fillId="7" borderId="10" xfId="0" applyNumberFormat="1" applyFont="1" applyFill="1" applyBorder="1" applyAlignment="1" applyProtection="1">
      <alignment horizontal="center"/>
    </xf>
    <xf numFmtId="1" fontId="7" fillId="7" borderId="11" xfId="0" applyNumberFormat="1" applyFont="1" applyFill="1" applyBorder="1" applyAlignment="1" applyProtection="1">
      <alignment horizontal="right"/>
    </xf>
    <xf numFmtId="10" fontId="7" fillId="7" borderId="11" xfId="0" applyNumberFormat="1" applyFont="1" applyFill="1" applyBorder="1" applyAlignment="1" applyProtection="1">
      <alignment horizontal="center"/>
    </xf>
    <xf numFmtId="10" fontId="7" fillId="5" borderId="11" xfId="2" applyNumberFormat="1" applyFont="1" applyFill="1" applyBorder="1" applyAlignment="1" applyProtection="1">
      <alignment horizontal="center"/>
    </xf>
    <xf numFmtId="165" fontId="7" fillId="8" borderId="34" xfId="2" applyNumberFormat="1" applyFont="1" applyFill="1" applyBorder="1" applyAlignment="1" applyProtection="1">
      <alignment horizontal="right"/>
    </xf>
    <xf numFmtId="1" fontId="7" fillId="7" borderId="13" xfId="0" applyNumberFormat="1" applyFont="1" applyFill="1" applyBorder="1" applyAlignment="1" applyProtection="1">
      <alignment horizontal="center"/>
    </xf>
    <xf numFmtId="1" fontId="7" fillId="7" borderId="14" xfId="0" applyNumberFormat="1" applyFont="1" applyFill="1" applyBorder="1" applyAlignment="1" applyProtection="1">
      <alignment horizontal="right"/>
    </xf>
    <xf numFmtId="1" fontId="7" fillId="7" borderId="31" xfId="0" applyNumberFormat="1" applyFont="1" applyFill="1" applyBorder="1" applyAlignment="1" applyProtection="1">
      <alignment horizontal="center"/>
    </xf>
    <xf numFmtId="1" fontId="7" fillId="7" borderId="32" xfId="0" applyNumberFormat="1" applyFont="1" applyFill="1" applyBorder="1" applyAlignment="1" applyProtection="1">
      <alignment horizontal="right"/>
    </xf>
    <xf numFmtId="165" fontId="11" fillId="4" borderId="8" xfId="0" applyNumberFormat="1" applyFont="1" applyFill="1" applyBorder="1" applyAlignment="1" applyProtection="1">
      <alignment horizontal="center"/>
    </xf>
    <xf numFmtId="165" fontId="10" fillId="4" borderId="9" xfId="2" applyNumberFormat="1" applyFont="1" applyFill="1" applyBorder="1" applyAlignment="1" applyProtection="1">
      <alignment horizontal="right"/>
    </xf>
    <xf numFmtId="1" fontId="8" fillId="2" borderId="35" xfId="0" applyNumberFormat="1" applyFont="1" applyFill="1" applyBorder="1" applyAlignment="1" applyProtection="1">
      <alignment horizontal="center" vertical="center" wrapText="1"/>
    </xf>
    <xf numFmtId="165" fontId="7" fillId="8" borderId="11" xfId="0" applyNumberFormat="1" applyFont="1" applyFill="1" applyBorder="1" applyAlignment="1">
      <alignment horizontal="right"/>
    </xf>
    <xf numFmtId="1" fontId="18" fillId="7" borderId="10" xfId="0" applyNumberFormat="1" applyFont="1" applyFill="1" applyBorder="1" applyAlignment="1">
      <alignment horizontal="center"/>
    </xf>
    <xf numFmtId="1" fontId="18" fillId="7" borderId="11" xfId="0" applyNumberFormat="1" applyFont="1" applyFill="1" applyBorder="1" applyAlignment="1">
      <alignment horizontal="right"/>
    </xf>
    <xf numFmtId="0" fontId="18" fillId="7" borderId="11" xfId="2" applyNumberFormat="1" applyFont="1" applyFill="1" applyBorder="1" applyAlignment="1">
      <alignment horizontal="right"/>
    </xf>
    <xf numFmtId="1" fontId="18" fillId="7" borderId="13" xfId="0" applyNumberFormat="1" applyFont="1" applyFill="1" applyBorder="1" applyAlignment="1">
      <alignment horizontal="center"/>
    </xf>
    <xf numFmtId="1" fontId="18" fillId="7" borderId="14" xfId="0" applyNumberFormat="1" applyFont="1" applyFill="1" applyBorder="1" applyAlignment="1">
      <alignment horizontal="right"/>
    </xf>
    <xf numFmtId="1" fontId="18" fillId="7" borderId="31" xfId="0" applyNumberFormat="1" applyFont="1" applyFill="1" applyBorder="1" applyAlignment="1">
      <alignment horizontal="center"/>
    </xf>
    <xf numFmtId="1" fontId="18" fillId="7" borderId="32" xfId="0" applyNumberFormat="1" applyFont="1" applyFill="1" applyBorder="1" applyAlignment="1">
      <alignment horizontal="right"/>
    </xf>
    <xf numFmtId="10" fontId="18" fillId="8" borderId="11" xfId="2" applyNumberFormat="1" applyFont="1" applyFill="1" applyBorder="1" applyAlignment="1">
      <alignment horizontal="center"/>
    </xf>
    <xf numFmtId="165" fontId="18" fillId="8" borderId="22" xfId="0" applyNumberFormat="1" applyFont="1" applyFill="1" applyBorder="1" applyAlignment="1">
      <alignment horizontal="right"/>
    </xf>
    <xf numFmtId="165" fontId="19" fillId="4" borderId="9" xfId="0" applyNumberFormat="1" applyFont="1" applyFill="1" applyBorder="1" applyAlignment="1">
      <alignment horizontal="right"/>
    </xf>
    <xf numFmtId="1" fontId="8" fillId="2" borderId="36" xfId="0" applyNumberFormat="1" applyFont="1" applyFill="1" applyBorder="1" applyAlignment="1" applyProtection="1">
      <alignment horizontal="center" vertical="center"/>
    </xf>
    <xf numFmtId="1" fontId="8" fillId="2" borderId="37" xfId="0" applyNumberFormat="1" applyFont="1" applyFill="1" applyBorder="1" applyAlignment="1" applyProtection="1">
      <alignment horizontal="center" vertical="center"/>
    </xf>
    <xf numFmtId="165" fontId="22" fillId="9" borderId="27" xfId="0" applyNumberFormat="1" applyFont="1" applyFill="1" applyBorder="1" applyAlignment="1">
      <alignment horizontal="center" vertical="center"/>
    </xf>
    <xf numFmtId="0" fontId="16" fillId="0" borderId="22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170" fontId="7" fillId="0" borderId="21" xfId="0" applyNumberFormat="1" applyFont="1" applyFill="1" applyBorder="1" applyAlignment="1" applyProtection="1">
      <alignment horizontal="right"/>
      <protection locked="0"/>
    </xf>
    <xf numFmtId="170" fontId="7" fillId="0" borderId="14" xfId="0" applyNumberFormat="1" applyFont="1" applyFill="1" applyBorder="1" applyAlignment="1" applyProtection="1">
      <alignment horizontal="right"/>
      <protection locked="0"/>
    </xf>
    <xf numFmtId="170" fontId="7" fillId="0" borderId="17" xfId="0" applyNumberFormat="1" applyFont="1" applyFill="1" applyBorder="1" applyAlignment="1" applyProtection="1">
      <alignment horizontal="right"/>
      <protection locked="0"/>
    </xf>
    <xf numFmtId="170" fontId="0" fillId="0" borderId="14" xfId="0" applyNumberFormat="1" applyFill="1" applyBorder="1" applyAlignment="1" applyProtection="1">
      <alignment horizontal="center"/>
      <protection locked="0"/>
    </xf>
    <xf numFmtId="170" fontId="10" fillId="4" borderId="8" xfId="0" applyNumberFormat="1" applyFont="1" applyFill="1" applyBorder="1"/>
    <xf numFmtId="10" fontId="0" fillId="0" borderId="0" xfId="2" applyNumberFormat="1" applyFont="1"/>
    <xf numFmtId="0" fontId="15" fillId="7" borderId="7" xfId="0" applyFont="1" applyFill="1" applyBorder="1" applyAlignment="1" applyProtection="1">
      <alignment horizontal="center" vertical="center"/>
    </xf>
    <xf numFmtId="165" fontId="24" fillId="9" borderId="27" xfId="0" applyNumberFormat="1" applyFont="1" applyFill="1" applyBorder="1" applyAlignment="1" applyProtection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8" fillId="2" borderId="38" xfId="0" applyNumberFormat="1" applyFont="1" applyFill="1" applyBorder="1" applyAlignment="1" applyProtection="1">
      <alignment horizontal="center" vertical="center"/>
    </xf>
    <xf numFmtId="0" fontId="11" fillId="4" borderId="8" xfId="0" applyFont="1" applyFill="1" applyBorder="1" applyAlignment="1" applyProtection="1">
      <alignment horizontal="center"/>
    </xf>
    <xf numFmtId="165" fontId="22" fillId="9" borderId="27" xfId="0" applyNumberFormat="1" applyFont="1" applyFill="1" applyBorder="1" applyAlignment="1" applyProtection="1">
      <alignment horizontal="center" vertical="center"/>
    </xf>
    <xf numFmtId="1" fontId="8" fillId="2" borderId="1" xfId="0" applyNumberFormat="1" applyFont="1" applyFill="1" applyBorder="1" applyAlignment="1" applyProtection="1">
      <alignment horizontal="center" vertical="center"/>
    </xf>
    <xf numFmtId="1" fontId="8" fillId="2" borderId="2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/>
    <xf numFmtId="0" fontId="7" fillId="0" borderId="10" xfId="0" applyFont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/>
    </xf>
    <xf numFmtId="0" fontId="7" fillId="0" borderId="13" xfId="0" applyFont="1" applyBorder="1" applyAlignment="1" applyProtection="1">
      <alignment horizontal="center" vertical="center"/>
    </xf>
    <xf numFmtId="0" fontId="7" fillId="0" borderId="15" xfId="0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9" fontId="7" fillId="0" borderId="0" xfId="2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 vertical="center"/>
    </xf>
    <xf numFmtId="1" fontId="8" fillId="2" borderId="3" xfId="0" applyNumberFormat="1" applyFont="1" applyFill="1" applyBorder="1" applyAlignment="1" applyProtection="1">
      <alignment horizontal="center" vertical="center"/>
    </xf>
    <xf numFmtId="1" fontId="8" fillId="2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right" vertical="center"/>
    </xf>
    <xf numFmtId="0" fontId="7" fillId="0" borderId="39" xfId="0" applyFont="1" applyBorder="1" applyAlignment="1" applyProtection="1">
      <alignment horizontal="center" vertical="center"/>
    </xf>
    <xf numFmtId="0" fontId="7" fillId="0" borderId="20" xfId="0" applyFont="1" applyBorder="1" applyAlignment="1" applyProtection="1">
      <alignment horizontal="right" vertical="center"/>
    </xf>
    <xf numFmtId="0" fontId="7" fillId="0" borderId="21" xfId="0" applyFont="1" applyBorder="1" applyAlignment="1" applyProtection="1">
      <alignment horizontal="center" vertical="center"/>
    </xf>
    <xf numFmtId="0" fontId="7" fillId="0" borderId="22" xfId="0" applyFont="1" applyBorder="1" applyAlignment="1" applyProtection="1">
      <alignment horizontal="center" vertical="center"/>
    </xf>
    <xf numFmtId="0" fontId="14" fillId="3" borderId="40" xfId="0" applyFont="1" applyFill="1" applyBorder="1" applyAlignment="1" applyProtection="1">
      <alignment horizontal="center" vertical="center" wrapText="1"/>
    </xf>
    <xf numFmtId="0" fontId="7" fillId="0" borderId="41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right" vertical="center" wrapText="1"/>
    </xf>
    <xf numFmtId="0" fontId="7" fillId="0" borderId="17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center" vertical="center"/>
    </xf>
    <xf numFmtId="0" fontId="7" fillId="0" borderId="18" xfId="0" applyFont="1" applyFill="1" applyBorder="1" applyAlignment="1" applyProtection="1">
      <alignment horizontal="center" vertical="center"/>
    </xf>
    <xf numFmtId="0" fontId="14" fillId="3" borderId="42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right" vertical="center" wrapText="1"/>
    </xf>
    <xf numFmtId="0" fontId="0" fillId="0" borderId="0" xfId="0" applyBorder="1" applyAlignment="1" applyProtection="1"/>
    <xf numFmtId="0" fontId="7" fillId="0" borderId="0" xfId="0" applyFont="1" applyBorder="1" applyAlignment="1" applyProtection="1">
      <alignment horizontal="center" vertical="center"/>
    </xf>
    <xf numFmtId="9" fontId="7" fillId="0" borderId="0" xfId="2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/>
    <xf numFmtId="0" fontId="7" fillId="0" borderId="10" xfId="0" applyFont="1" applyBorder="1" applyAlignment="1" applyProtection="1">
      <alignment readingOrder="2"/>
    </xf>
    <xf numFmtId="0" fontId="7" fillId="0" borderId="11" xfId="0" applyFont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right" vertical="center" wrapText="1" readingOrder="2"/>
    </xf>
    <xf numFmtId="0" fontId="7" fillId="0" borderId="14" xfId="0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right" vertical="center" wrapText="1" readingOrder="2"/>
    </xf>
    <xf numFmtId="0" fontId="14" fillId="3" borderId="43" xfId="0" applyFont="1" applyFill="1" applyBorder="1" applyAlignment="1" applyProtection="1">
      <alignment horizontal="center" vertical="center" wrapText="1"/>
    </xf>
    <xf numFmtId="0" fontId="14" fillId="4" borderId="44" xfId="0" applyFont="1" applyFill="1" applyBorder="1" applyAlignment="1" applyProtection="1">
      <alignment horizontal="center" vertical="center" wrapText="1"/>
    </xf>
    <xf numFmtId="9" fontId="6" fillId="4" borderId="45" xfId="2" applyFont="1" applyFill="1" applyBorder="1" applyAlignment="1" applyProtection="1">
      <alignment horizontal="center" vertical="center" wrapText="1"/>
    </xf>
    <xf numFmtId="0" fontId="7" fillId="0" borderId="20" xfId="0" applyFont="1" applyBorder="1" applyAlignment="1" applyProtection="1">
      <alignment readingOrder="2"/>
    </xf>
    <xf numFmtId="0" fontId="7" fillId="0" borderId="21" xfId="0" applyFont="1" applyFill="1" applyBorder="1" applyAlignment="1" applyProtection="1">
      <alignment horizontal="center" vertical="center"/>
    </xf>
    <xf numFmtId="0" fontId="7" fillId="0" borderId="22" xfId="0" applyFont="1" applyBorder="1" applyAlignment="1" applyProtection="1">
      <alignment horizontal="center"/>
    </xf>
    <xf numFmtId="0" fontId="7" fillId="0" borderId="13" xfId="0" applyFont="1" applyBorder="1" applyAlignment="1" applyProtection="1">
      <alignment readingOrder="2"/>
    </xf>
    <xf numFmtId="0" fontId="7" fillId="0" borderId="14" xfId="0" applyFont="1" applyFill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/>
    </xf>
    <xf numFmtId="0" fontId="7" fillId="0" borderId="17" xfId="0" applyFont="1" applyFill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/>
    </xf>
    <xf numFmtId="9" fontId="0" fillId="0" borderId="0" xfId="0" applyNumberFormat="1" applyProtection="1"/>
    <xf numFmtId="0" fontId="7" fillId="0" borderId="20" xfId="0" applyFont="1" applyBorder="1" applyAlignment="1" applyProtection="1">
      <alignment horizontal="center" vertical="center"/>
    </xf>
    <xf numFmtId="0" fontId="7" fillId="0" borderId="22" xfId="0" applyFont="1" applyBorder="1" applyAlignment="1" applyProtection="1">
      <alignment horizontal="right" vertical="center" wrapText="1"/>
    </xf>
    <xf numFmtId="0" fontId="7" fillId="0" borderId="15" xfId="0" applyFont="1" applyBorder="1" applyAlignment="1" applyProtection="1">
      <alignment horizontal="right" vertical="center" wrapText="1" readingOrder="2"/>
    </xf>
    <xf numFmtId="0" fontId="7" fillId="0" borderId="18" xfId="0" applyFont="1" applyBorder="1" applyAlignment="1" applyProtection="1">
      <alignment horizontal="right" vertical="center" wrapText="1"/>
    </xf>
    <xf numFmtId="0" fontId="16" fillId="0" borderId="20" xfId="0" applyFont="1" applyBorder="1" applyProtection="1"/>
    <xf numFmtId="9" fontId="16" fillId="0" borderId="21" xfId="2" applyFont="1" applyBorder="1" applyAlignment="1" applyProtection="1">
      <alignment horizontal="center"/>
    </xf>
    <xf numFmtId="0" fontId="16" fillId="0" borderId="22" xfId="0" applyFont="1" applyBorder="1" applyAlignment="1" applyProtection="1">
      <alignment horizontal="center"/>
    </xf>
    <xf numFmtId="0" fontId="4" fillId="0" borderId="26" xfId="0" applyFont="1" applyBorder="1" applyAlignment="1" applyProtection="1">
      <alignment horizontal="center"/>
    </xf>
    <xf numFmtId="0" fontId="4" fillId="0" borderId="27" xfId="0" applyFont="1" applyBorder="1" applyAlignment="1" applyProtection="1">
      <alignment horizontal="center"/>
    </xf>
    <xf numFmtId="0" fontId="16" fillId="0" borderId="13" xfId="0" applyFont="1" applyBorder="1" applyProtection="1"/>
    <xf numFmtId="9" fontId="16" fillId="0" borderId="14" xfId="2" applyFont="1" applyBorder="1" applyAlignment="1" applyProtection="1">
      <alignment horizontal="center"/>
    </xf>
    <xf numFmtId="0" fontId="16" fillId="0" borderId="15" xfId="0" applyFont="1" applyBorder="1" applyAlignment="1" applyProtection="1">
      <alignment horizontal="center"/>
    </xf>
    <xf numFmtId="0" fontId="16" fillId="0" borderId="16" xfId="0" applyFont="1" applyBorder="1" applyProtection="1"/>
    <xf numFmtId="9" fontId="16" fillId="0" borderId="17" xfId="2" applyFont="1" applyBorder="1" applyAlignment="1" applyProtection="1">
      <alignment horizontal="center"/>
    </xf>
    <xf numFmtId="0" fontId="16" fillId="0" borderId="18" xfId="0" applyFont="1" applyBorder="1" applyAlignment="1" applyProtection="1">
      <alignment horizontal="center"/>
    </xf>
    <xf numFmtId="0" fontId="16" fillId="0" borderId="0" xfId="0" applyFont="1" applyBorder="1" applyProtection="1"/>
    <xf numFmtId="9" fontId="16" fillId="0" borderId="0" xfId="2" applyFont="1" applyBorder="1" applyAlignment="1" applyProtection="1">
      <alignment horizontal="center"/>
    </xf>
    <xf numFmtId="1" fontId="8" fillId="2" borderId="46" xfId="0" applyNumberFormat="1" applyFont="1" applyFill="1" applyBorder="1" applyAlignment="1" applyProtection="1">
      <alignment horizontal="center" vertical="center" wrapText="1"/>
    </xf>
    <xf numFmtId="0" fontId="7" fillId="0" borderId="47" xfId="0" applyFont="1" applyBorder="1" applyAlignment="1" applyProtection="1">
      <alignment horizontal="center" vertical="center"/>
    </xf>
    <xf numFmtId="9" fontId="16" fillId="0" borderId="22" xfId="2" applyFont="1" applyBorder="1" applyAlignment="1" applyProtection="1">
      <alignment horizontal="center"/>
    </xf>
    <xf numFmtId="9" fontId="16" fillId="0" borderId="18" xfId="2" applyFont="1" applyBorder="1" applyAlignment="1" applyProtection="1">
      <alignment horizontal="center"/>
    </xf>
    <xf numFmtId="9" fontId="7" fillId="0" borderId="29" xfId="2" applyFont="1" applyBorder="1" applyAlignment="1" applyProtection="1">
      <alignment horizontal="center" vertical="center"/>
    </xf>
    <xf numFmtId="9" fontId="7" fillId="0" borderId="30" xfId="2" applyFont="1" applyBorder="1" applyAlignment="1" applyProtection="1">
      <alignment horizontal="center" vertical="center"/>
    </xf>
    <xf numFmtId="9" fontId="7" fillId="0" borderId="17" xfId="2" applyFont="1" applyBorder="1" applyAlignment="1" applyProtection="1">
      <alignment horizontal="center" vertical="center"/>
    </xf>
    <xf numFmtId="0" fontId="0" fillId="0" borderId="14" xfId="0" applyBorder="1"/>
    <xf numFmtId="3" fontId="0" fillId="0" borderId="14" xfId="0" applyNumberFormat="1" applyBorder="1" applyAlignment="1" applyProtection="1">
      <alignment horizontal="center"/>
      <protection locked="0"/>
    </xf>
    <xf numFmtId="0" fontId="6" fillId="7" borderId="7" xfId="0" applyFont="1" applyFill="1" applyBorder="1" applyAlignment="1" applyProtection="1">
      <alignment horizontal="center" vertical="center"/>
    </xf>
    <xf numFmtId="1" fontId="26" fillId="2" borderId="6" xfId="0" applyNumberFormat="1" applyFont="1" applyFill="1" applyBorder="1" applyAlignment="1" applyProtection="1">
      <alignment horizontal="center" vertical="center" wrapText="1"/>
    </xf>
    <xf numFmtId="1" fontId="26" fillId="2" borderId="7" xfId="0" applyNumberFormat="1" applyFont="1" applyFill="1" applyBorder="1" applyAlignment="1" applyProtection="1">
      <alignment horizontal="center" vertical="center" wrapText="1"/>
    </xf>
    <xf numFmtId="9" fontId="27" fillId="0" borderId="22" xfId="2" applyFont="1" applyBorder="1" applyAlignment="1" applyProtection="1">
      <alignment horizontal="center"/>
    </xf>
    <xf numFmtId="9" fontId="27" fillId="0" borderId="18" xfId="2" applyFont="1" applyBorder="1" applyAlignment="1" applyProtection="1">
      <alignment horizontal="center"/>
    </xf>
    <xf numFmtId="171" fontId="8" fillId="2" borderId="7" xfId="0" applyNumberFormat="1" applyFont="1" applyFill="1" applyBorder="1" applyAlignment="1" applyProtection="1">
      <alignment horizontal="center" vertical="center" wrapText="1"/>
    </xf>
    <xf numFmtId="167" fontId="7" fillId="7" borderId="21" xfId="0" applyNumberFormat="1" applyFont="1" applyFill="1" applyBorder="1" applyAlignment="1" applyProtection="1">
      <alignment horizontal="center"/>
    </xf>
    <xf numFmtId="167" fontId="7" fillId="7" borderId="14" xfId="0" applyNumberFormat="1" applyFont="1" applyFill="1" applyBorder="1" applyAlignment="1" applyProtection="1">
      <alignment horizontal="center"/>
    </xf>
    <xf numFmtId="167" fontId="7" fillId="7" borderId="11" xfId="2" applyNumberFormat="1" applyFont="1" applyFill="1" applyBorder="1" applyAlignment="1" applyProtection="1">
      <alignment horizontal="center"/>
    </xf>
    <xf numFmtId="167" fontId="7" fillId="5" borderId="11" xfId="0" applyNumberFormat="1" applyFont="1" applyFill="1" applyBorder="1" applyAlignment="1" applyProtection="1">
      <alignment horizontal="center"/>
    </xf>
    <xf numFmtId="2" fontId="0" fillId="0" borderId="10" xfId="0" applyNumberFormat="1" applyBorder="1" applyAlignment="1" applyProtection="1">
      <alignment horizontal="center"/>
    </xf>
    <xf numFmtId="167" fontId="7" fillId="7" borderId="11" xfId="0" applyNumberFormat="1" applyFont="1" applyFill="1" applyBorder="1" applyAlignment="1" applyProtection="1">
      <alignment horizontal="center"/>
    </xf>
    <xf numFmtId="0" fontId="7" fillId="7" borderId="12" xfId="0" applyNumberFormat="1" applyFont="1" applyFill="1" applyBorder="1" applyAlignment="1" applyProtection="1">
      <alignment horizontal="center"/>
    </xf>
    <xf numFmtId="2" fontId="0" fillId="0" borderId="13" xfId="0" applyNumberFormat="1" applyBorder="1" applyAlignment="1" applyProtection="1">
      <alignment horizontal="center"/>
    </xf>
    <xf numFmtId="2" fontId="0" fillId="0" borderId="31" xfId="0" applyNumberFormat="1" applyBorder="1" applyAlignment="1" applyProtection="1">
      <alignment horizontal="center"/>
    </xf>
    <xf numFmtId="0" fontId="7" fillId="7" borderId="48" xfId="0" applyNumberFormat="1" applyFont="1" applyFill="1" applyBorder="1" applyAlignment="1" applyProtection="1">
      <alignment horizontal="center"/>
    </xf>
    <xf numFmtId="167" fontId="10" fillId="4" borderId="8" xfId="2" applyNumberFormat="1" applyFont="1" applyFill="1" applyBorder="1" applyAlignment="1" applyProtection="1">
      <alignment horizontal="center"/>
    </xf>
    <xf numFmtId="3" fontId="10" fillId="4" borderId="49" xfId="2" applyNumberFormat="1" applyFont="1" applyFill="1" applyBorder="1" applyAlignment="1" applyProtection="1">
      <alignment horizontal="center"/>
    </xf>
    <xf numFmtId="164" fontId="10" fillId="4" borderId="8" xfId="2" applyNumberFormat="1" applyFont="1" applyFill="1" applyBorder="1" applyAlignment="1" applyProtection="1">
      <alignment horizontal="center"/>
    </xf>
    <xf numFmtId="167" fontId="10" fillId="4" borderId="49" xfId="2" applyNumberFormat="1" applyFont="1" applyFill="1" applyBorder="1" applyAlignment="1" applyProtection="1">
      <alignment horizontal="center"/>
    </xf>
    <xf numFmtId="2" fontId="0" fillId="0" borderId="50" xfId="0" applyNumberFormat="1" applyFill="1" applyBorder="1" applyAlignment="1" applyProtection="1">
      <alignment horizontal="center"/>
    </xf>
    <xf numFmtId="0" fontId="0" fillId="0" borderId="8" xfId="0" applyBorder="1" applyProtection="1"/>
    <xf numFmtId="0" fontId="7" fillId="10" borderId="9" xfId="0" applyNumberFormat="1" applyFont="1" applyFill="1" applyBorder="1" applyAlignment="1" applyProtection="1">
      <alignment horizontal="center"/>
    </xf>
    <xf numFmtId="167" fontId="0" fillId="0" borderId="0" xfId="0" applyNumberFormat="1" applyProtection="1"/>
    <xf numFmtId="172" fontId="0" fillId="0" borderId="0" xfId="0" applyNumberFormat="1" applyProtection="1"/>
    <xf numFmtId="1" fontId="27" fillId="0" borderId="20" xfId="0" applyNumberFormat="1" applyFont="1" applyBorder="1" applyProtection="1"/>
    <xf numFmtId="1" fontId="27" fillId="0" borderId="16" xfId="0" applyNumberFormat="1" applyFont="1" applyBorder="1" applyProtection="1"/>
    <xf numFmtId="1" fontId="15" fillId="11" borderId="51" xfId="0" applyNumberFormat="1" applyFont="1" applyFill="1" applyBorder="1" applyAlignment="1" applyProtection="1">
      <alignment horizontal="center" vertical="center"/>
    </xf>
    <xf numFmtId="173" fontId="10" fillId="4" borderId="8" xfId="2" applyNumberFormat="1" applyFont="1" applyFill="1" applyBorder="1" applyAlignment="1" applyProtection="1">
      <alignment horizontal="center"/>
    </xf>
    <xf numFmtId="0" fontId="6" fillId="4" borderId="7" xfId="0" applyFont="1" applyFill="1" applyBorder="1" applyAlignment="1" applyProtection="1">
      <alignment horizontal="center" vertical="center"/>
      <protection locked="0"/>
    </xf>
    <xf numFmtId="3" fontId="0" fillId="0" borderId="0" xfId="0" applyNumberFormat="1"/>
    <xf numFmtId="1" fontId="8" fillId="2" borderId="54" xfId="0" applyNumberFormat="1" applyFont="1" applyFill="1" applyBorder="1" applyAlignment="1">
      <alignment horizontal="center" vertical="center" wrapText="1"/>
    </xf>
    <xf numFmtId="1" fontId="8" fillId="2" borderId="5" xfId="0" applyNumberFormat="1" applyFont="1" applyFill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1" fontId="8" fillId="2" borderId="57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 applyProtection="1">
      <alignment horizontal="center" vertical="center" wrapText="1"/>
    </xf>
    <xf numFmtId="170" fontId="7" fillId="0" borderId="11" xfId="0" applyNumberFormat="1" applyFont="1" applyFill="1" applyBorder="1" applyAlignment="1" applyProtection="1">
      <alignment horizontal="right"/>
      <protection locked="0"/>
    </xf>
    <xf numFmtId="170" fontId="7" fillId="0" borderId="28" xfId="0" applyNumberFormat="1" applyFont="1" applyFill="1" applyBorder="1" applyAlignment="1" applyProtection="1">
      <alignment horizontal="right"/>
      <protection locked="0"/>
    </xf>
    <xf numFmtId="170" fontId="7" fillId="7" borderId="14" xfId="0" applyNumberFormat="1" applyFont="1" applyFill="1" applyBorder="1" applyAlignment="1" applyProtection="1">
      <alignment horizontal="center"/>
    </xf>
    <xf numFmtId="170" fontId="7" fillId="7" borderId="17" xfId="0" applyNumberFormat="1" applyFont="1" applyFill="1" applyBorder="1" applyAlignment="1" applyProtection="1">
      <alignment horizontal="center"/>
    </xf>
    <xf numFmtId="0" fontId="7" fillId="0" borderId="28" xfId="0" applyNumberFormat="1" applyFont="1" applyFill="1" applyBorder="1" applyAlignment="1" applyProtection="1">
      <alignment horizontal="center"/>
      <protection locked="0"/>
    </xf>
    <xf numFmtId="0" fontId="7" fillId="0" borderId="28" xfId="0" applyNumberFormat="1" applyFont="1" applyFill="1" applyBorder="1" applyAlignment="1">
      <alignment horizontal="center"/>
    </xf>
    <xf numFmtId="165" fontId="0" fillId="0" borderId="0" xfId="0" applyNumberFormat="1" applyProtection="1"/>
    <xf numFmtId="0" fontId="0" fillId="13" borderId="14" xfId="0" applyFill="1" applyBorder="1" applyAlignment="1" applyProtection="1">
      <alignment horizontal="center"/>
      <protection locked="0"/>
    </xf>
    <xf numFmtId="0" fontId="0" fillId="13" borderId="14" xfId="0" applyFill="1" applyBorder="1"/>
    <xf numFmtId="0" fontId="0" fillId="13" borderId="0" xfId="0" applyFill="1"/>
    <xf numFmtId="164" fontId="6" fillId="0" borderId="59" xfId="2" applyNumberFormat="1" applyFont="1" applyFill="1" applyBorder="1" applyAlignment="1" applyProtection="1">
      <alignment horizontal="center" vertical="center" wrapText="1"/>
    </xf>
    <xf numFmtId="164" fontId="6" fillId="0" borderId="60" xfId="2" applyNumberFormat="1" applyFont="1" applyFill="1" applyBorder="1" applyAlignment="1" applyProtection="1">
      <alignment horizontal="center" vertical="center" wrapText="1"/>
    </xf>
    <xf numFmtId="164" fontId="6" fillId="0" borderId="61" xfId="2" applyNumberFormat="1" applyFont="1" applyFill="1" applyBorder="1" applyAlignment="1" applyProtection="1">
      <alignment horizontal="center" vertical="center" wrapText="1"/>
    </xf>
    <xf numFmtId="0" fontId="0" fillId="14" borderId="0" xfId="0" applyFill="1"/>
    <xf numFmtId="0" fontId="7" fillId="14" borderId="0" xfId="0" applyFont="1" applyFill="1"/>
    <xf numFmtId="165" fontId="0" fillId="15" borderId="21" xfId="0" applyNumberFormat="1" applyFill="1" applyBorder="1" applyAlignment="1" applyProtection="1">
      <alignment horizontal="center"/>
      <protection locked="0"/>
    </xf>
    <xf numFmtId="165" fontId="0" fillId="15" borderId="14" xfId="0" applyNumberFormat="1" applyFill="1" applyBorder="1" applyAlignment="1" applyProtection="1">
      <alignment horizontal="center"/>
      <protection locked="0"/>
    </xf>
    <xf numFmtId="165" fontId="0" fillId="14" borderId="14" xfId="0" applyNumberFormat="1" applyFill="1" applyBorder="1" applyAlignment="1" applyProtection="1">
      <alignment horizontal="center"/>
      <protection locked="0"/>
    </xf>
    <xf numFmtId="165" fontId="7" fillId="7" borderId="72" xfId="0" applyNumberFormat="1" applyFont="1" applyFill="1" applyBorder="1" applyAlignment="1" applyProtection="1">
      <alignment horizontal="right"/>
      <protection locked="0"/>
    </xf>
    <xf numFmtId="1" fontId="8" fillId="2" borderId="75" xfId="0" applyNumberFormat="1" applyFont="1" applyFill="1" applyBorder="1" applyAlignment="1">
      <alignment horizontal="center" vertical="center" wrapText="1"/>
    </xf>
    <xf numFmtId="1" fontId="8" fillId="2" borderId="77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7" borderId="11" xfId="0" applyNumberFormat="1" applyFont="1" applyFill="1" applyBorder="1" applyAlignment="1">
      <alignment horizontal="center" vertical="center"/>
    </xf>
    <xf numFmtId="165" fontId="0" fillId="0" borderId="0" xfId="0" applyNumberFormat="1"/>
    <xf numFmtId="165" fontId="7" fillId="8" borderId="11" xfId="0" applyNumberFormat="1" applyFont="1" applyFill="1" applyBorder="1" applyAlignment="1">
      <alignment horizontal="center" vertical="center"/>
    </xf>
    <xf numFmtId="174" fontId="0" fillId="0" borderId="0" xfId="0" applyNumberFormat="1"/>
    <xf numFmtId="1" fontId="0" fillId="0" borderId="21" xfId="0" applyNumberFormat="1" applyBorder="1" applyAlignment="1" applyProtection="1">
      <alignment horizontal="center"/>
      <protection locked="0"/>
    </xf>
    <xf numFmtId="1" fontId="0" fillId="0" borderId="14" xfId="0" applyNumberFormat="1" applyBorder="1" applyAlignment="1" applyProtection="1">
      <alignment horizontal="center"/>
      <protection locked="0"/>
    </xf>
    <xf numFmtId="1" fontId="0" fillId="13" borderId="14" xfId="0" applyNumberFormat="1" applyFill="1" applyBorder="1" applyAlignment="1" applyProtection="1">
      <alignment horizontal="center"/>
      <protection locked="0"/>
    </xf>
    <xf numFmtId="0" fontId="6" fillId="7" borderId="7" xfId="0" applyFont="1" applyFill="1" applyBorder="1" applyAlignment="1">
      <alignment horizontal="center" vertical="center"/>
    </xf>
    <xf numFmtId="165" fontId="22" fillId="9" borderId="27" xfId="0" applyNumberFormat="1" applyFont="1" applyFill="1" applyBorder="1" applyAlignment="1">
      <alignment horizontal="center" vertical="center"/>
    </xf>
    <xf numFmtId="0" fontId="7" fillId="0" borderId="11" xfId="2" applyNumberFormat="1" applyFont="1" applyFill="1" applyBorder="1" applyAlignment="1" applyProtection="1">
      <alignment horizontal="center"/>
      <protection locked="0"/>
    </xf>
    <xf numFmtId="0" fontId="4" fillId="0" borderId="0" xfId="4" applyProtection="1"/>
    <xf numFmtId="0" fontId="4" fillId="0" borderId="0" xfId="4"/>
    <xf numFmtId="0" fontId="6" fillId="12" borderId="69" xfId="4" applyFont="1" applyFill="1" applyBorder="1" applyAlignment="1" applyProtection="1">
      <alignment horizontal="center"/>
    </xf>
    <xf numFmtId="0" fontId="6" fillId="12" borderId="80" xfId="4" applyFont="1" applyFill="1" applyBorder="1" applyAlignment="1" applyProtection="1">
      <alignment horizontal="center"/>
    </xf>
    <xf numFmtId="0" fontId="6" fillId="12" borderId="89" xfId="4" applyFont="1" applyFill="1" applyBorder="1" applyAlignment="1" applyProtection="1">
      <alignment horizontal="center"/>
    </xf>
    <xf numFmtId="0" fontId="6" fillId="12" borderId="0" xfId="4" applyFont="1" applyFill="1" applyBorder="1" applyAlignment="1" applyProtection="1">
      <alignment horizontal="center"/>
    </xf>
    <xf numFmtId="0" fontId="6" fillId="12" borderId="70" xfId="4" applyFont="1" applyFill="1" applyBorder="1" applyAlignment="1" applyProtection="1">
      <alignment horizontal="center"/>
    </xf>
    <xf numFmtId="1" fontId="8" fillId="2" borderId="90" xfId="4" applyNumberFormat="1" applyFont="1" applyFill="1" applyBorder="1" applyAlignment="1" applyProtection="1">
      <alignment horizontal="center" vertical="center" wrapText="1"/>
    </xf>
    <xf numFmtId="1" fontId="8" fillId="2" borderId="3" xfId="4" applyNumberFormat="1" applyFont="1" applyFill="1" applyBorder="1" applyAlignment="1" applyProtection="1">
      <alignment horizontal="center" vertical="center" wrapText="1"/>
    </xf>
    <xf numFmtId="1" fontId="8" fillId="16" borderId="0" xfId="4" applyNumberFormat="1" applyFont="1" applyFill="1" applyBorder="1" applyAlignment="1" applyProtection="1">
      <alignment horizontal="center" vertical="center" wrapText="1"/>
    </xf>
    <xf numFmtId="1" fontId="8" fillId="2" borderId="4" xfId="4" applyNumberFormat="1" applyFont="1" applyFill="1" applyBorder="1" applyAlignment="1" applyProtection="1">
      <alignment horizontal="center" vertical="center" wrapText="1"/>
    </xf>
    <xf numFmtId="1" fontId="8" fillId="2" borderId="7" xfId="4" applyNumberFormat="1" applyFont="1" applyFill="1" applyBorder="1" applyAlignment="1" applyProtection="1">
      <alignment horizontal="center" vertical="center" wrapText="1"/>
    </xf>
    <xf numFmtId="1" fontId="4" fillId="0" borderId="0" xfId="4" applyNumberFormat="1" applyProtection="1"/>
    <xf numFmtId="175" fontId="29" fillId="0" borderId="14" xfId="6" applyNumberFormat="1" applyFont="1" applyFill="1" applyBorder="1" applyAlignment="1" applyProtection="1">
      <alignment horizontal="center" vertical="center" readingOrder="1"/>
      <protection locked="0"/>
    </xf>
    <xf numFmtId="0" fontId="7" fillId="7" borderId="11" xfId="4" applyNumberFormat="1" applyFont="1" applyFill="1" applyBorder="1" applyAlignment="1" applyProtection="1">
      <alignment horizontal="center" vertical="center"/>
    </xf>
    <xf numFmtId="10" fontId="7" fillId="7" borderId="12" xfId="5" applyNumberFormat="1" applyFont="1" applyFill="1" applyBorder="1" applyAlignment="1" applyProtection="1">
      <alignment horizontal="center"/>
    </xf>
    <xf numFmtId="3" fontId="4" fillId="0" borderId="0" xfId="4" applyNumberFormat="1" applyProtection="1"/>
    <xf numFmtId="0" fontId="12" fillId="0" borderId="21" xfId="4" applyFont="1" applyFill="1" applyBorder="1" applyAlignment="1" applyProtection="1">
      <alignment horizontal="center" vertical="center"/>
    </xf>
    <xf numFmtId="0" fontId="4" fillId="0" borderId="14" xfId="4" applyBorder="1" applyAlignment="1" applyProtection="1">
      <alignment horizontal="center" vertical="center"/>
    </xf>
    <xf numFmtId="0" fontId="12" fillId="0" borderId="14" xfId="4" applyFont="1" applyFill="1" applyBorder="1" applyAlignment="1" applyProtection="1">
      <alignment horizontal="center" vertical="center"/>
    </xf>
    <xf numFmtId="0" fontId="12" fillId="0" borderId="96" xfId="4" applyFont="1" applyBorder="1" applyAlignment="1" applyProtection="1">
      <alignment horizontal="right" vertical="center" wrapText="1" readingOrder="2"/>
    </xf>
    <xf numFmtId="0" fontId="12" fillId="0" borderId="97" xfId="4" applyFont="1" applyFill="1" applyBorder="1" applyAlignment="1" applyProtection="1">
      <alignment horizontal="center" vertical="center" wrapText="1"/>
    </xf>
    <xf numFmtId="0" fontId="12" fillId="0" borderId="98" xfId="4" applyFont="1" applyBorder="1" applyAlignment="1" applyProtection="1">
      <alignment horizontal="right" vertical="center" wrapText="1" readingOrder="2"/>
    </xf>
    <xf numFmtId="1" fontId="13" fillId="2" borderId="74" xfId="4" applyNumberFormat="1" applyFont="1" applyFill="1" applyBorder="1" applyAlignment="1" applyProtection="1">
      <alignment horizontal="center" vertical="center"/>
    </xf>
    <xf numFmtId="1" fontId="13" fillId="2" borderId="76" xfId="4" applyNumberFormat="1" applyFont="1" applyFill="1" applyBorder="1" applyAlignment="1" applyProtection="1">
      <alignment horizontal="center" vertical="center"/>
    </xf>
    <xf numFmtId="1" fontId="13" fillId="2" borderId="78" xfId="4" applyNumberFormat="1" applyFont="1" applyFill="1" applyBorder="1" applyAlignment="1" applyProtection="1">
      <alignment horizontal="center" vertical="center"/>
    </xf>
    <xf numFmtId="0" fontId="12" fillId="0" borderId="100" xfId="4" applyFont="1" applyBorder="1" applyAlignment="1" applyProtection="1">
      <alignment readingOrder="2"/>
    </xf>
    <xf numFmtId="176" fontId="12" fillId="0" borderId="101" xfId="4" applyNumberFormat="1" applyFont="1" applyBorder="1" applyAlignment="1" applyProtection="1">
      <alignment horizontal="center" vertical="center"/>
    </xf>
    <xf numFmtId="0" fontId="12" fillId="0" borderId="92" xfId="4" applyFont="1" applyBorder="1" applyAlignment="1" applyProtection="1">
      <alignment readingOrder="2"/>
    </xf>
    <xf numFmtId="176" fontId="12" fillId="0" borderId="93" xfId="4" applyNumberFormat="1" applyFont="1" applyBorder="1" applyAlignment="1" applyProtection="1">
      <alignment horizontal="center" vertical="center"/>
    </xf>
    <xf numFmtId="0" fontId="12" fillId="0" borderId="92" xfId="4" applyFont="1" applyBorder="1" applyAlignment="1" applyProtection="1">
      <alignment horizontal="right" vertical="center" wrapText="1" readingOrder="2"/>
    </xf>
    <xf numFmtId="0" fontId="12" fillId="0" borderId="5" xfId="4" applyFont="1" applyFill="1" applyBorder="1" applyAlignment="1" applyProtection="1">
      <alignment horizontal="center" vertical="center" wrapText="1"/>
    </xf>
    <xf numFmtId="176" fontId="12" fillId="0" borderId="99" xfId="4" applyNumberFormat="1" applyFont="1" applyBorder="1" applyAlignment="1" applyProtection="1">
      <alignment horizontal="center" vertical="center"/>
    </xf>
    <xf numFmtId="170" fontId="10" fillId="4" borderId="8" xfId="4" applyNumberFormat="1" applyFont="1" applyFill="1" applyBorder="1" applyProtection="1"/>
    <xf numFmtId="10" fontId="10" fillId="4" borderId="9" xfId="5" applyNumberFormat="1" applyFont="1" applyFill="1" applyBorder="1" applyProtection="1"/>
    <xf numFmtId="9" fontId="12" fillId="0" borderId="99" xfId="2" applyFont="1" applyFill="1" applyBorder="1" applyAlignment="1" applyProtection="1">
      <alignment horizontal="center" vertical="center" wrapText="1"/>
    </xf>
    <xf numFmtId="170" fontId="7" fillId="7" borderId="11" xfId="4" applyNumberFormat="1" applyFont="1" applyFill="1" applyBorder="1" applyAlignment="1" applyProtection="1">
      <alignment horizontal="center" vertical="center"/>
    </xf>
    <xf numFmtId="3" fontId="7" fillId="7" borderId="14" xfId="2" applyNumberFormat="1" applyFont="1" applyFill="1" applyBorder="1" applyAlignment="1">
      <alignment horizontal="center"/>
    </xf>
    <xf numFmtId="165" fontId="51" fillId="40" borderId="93" xfId="4" applyNumberFormat="1" applyFont="1" applyFill="1" applyBorder="1" applyAlignment="1" applyProtection="1">
      <alignment horizontal="center" vertical="center"/>
    </xf>
    <xf numFmtId="1" fontId="51" fillId="41" borderId="13" xfId="4" applyNumberFormat="1" applyFont="1" applyFill="1" applyBorder="1" applyAlignment="1" applyProtection="1">
      <alignment horizontal="center"/>
    </xf>
    <xf numFmtId="10" fontId="29" fillId="43" borderId="14" xfId="2" applyNumberFormat="1" applyFont="1" applyFill="1" applyBorder="1" applyAlignment="1" applyProtection="1">
      <alignment horizontal="center"/>
    </xf>
    <xf numFmtId="10" fontId="51" fillId="40" borderId="14" xfId="2" applyNumberFormat="1" applyFont="1" applyFill="1" applyBorder="1" applyAlignment="1" applyProtection="1">
      <alignment horizontal="center"/>
    </xf>
    <xf numFmtId="0" fontId="53" fillId="0" borderId="0" xfId="51" applyFont="1" applyFill="1"/>
    <xf numFmtId="0" fontId="54" fillId="0" borderId="0" xfId="51" applyFont="1" applyFill="1" applyAlignment="1">
      <alignment horizontal="center"/>
    </xf>
    <xf numFmtId="165" fontId="55" fillId="14" borderId="99" xfId="0" applyNumberFormat="1" applyFont="1" applyFill="1" applyBorder="1" applyAlignment="1" applyProtection="1">
      <alignment horizontal="center" vertical="center"/>
      <protection locked="0"/>
    </xf>
    <xf numFmtId="1" fontId="50" fillId="39" borderId="100" xfId="54" applyNumberFormat="1" applyFont="1" applyFill="1" applyBorder="1" applyAlignment="1" applyProtection="1">
      <alignment horizontal="center" vertical="center" wrapText="1"/>
    </xf>
    <xf numFmtId="0" fontId="51" fillId="40" borderId="101" xfId="4" applyNumberFormat="1" applyFont="1" applyFill="1" applyBorder="1" applyAlignment="1" applyProtection="1">
      <alignment horizontal="center" vertical="center"/>
    </xf>
    <xf numFmtId="0" fontId="50" fillId="0" borderId="0" xfId="53" applyFont="1"/>
    <xf numFmtId="1" fontId="51" fillId="40" borderId="0" xfId="4" applyNumberFormat="1" applyFont="1" applyFill="1" applyBorder="1" applyAlignment="1" applyProtection="1">
      <alignment horizontal="center" vertical="center"/>
    </xf>
    <xf numFmtId="165" fontId="51" fillId="40" borderId="0" xfId="4" applyNumberFormat="1" applyFont="1" applyFill="1" applyBorder="1" applyAlignment="1" applyProtection="1">
      <alignment horizontal="center" vertical="center"/>
    </xf>
    <xf numFmtId="9" fontId="50" fillId="41" borderId="92" xfId="53" applyNumberFormat="1" applyFont="1" applyFill="1" applyBorder="1" applyAlignment="1">
      <alignment horizontal="center" vertical="center" wrapText="1"/>
    </xf>
    <xf numFmtId="0" fontId="29" fillId="41" borderId="14" xfId="2" applyNumberFormat="1" applyFont="1" applyFill="1" applyBorder="1" applyAlignment="1" applyProtection="1">
      <alignment horizontal="center"/>
    </xf>
    <xf numFmtId="10" fontId="29" fillId="40" borderId="14" xfId="2" applyNumberFormat="1" applyFont="1" applyFill="1" applyBorder="1" applyAlignment="1" applyProtection="1">
      <alignment horizontal="center"/>
    </xf>
    <xf numFmtId="0" fontId="7" fillId="0" borderId="100" xfId="0" applyFont="1" applyBorder="1" applyAlignment="1" applyProtection="1">
      <alignment horizontal="center" vertical="center" wrapText="1"/>
    </xf>
    <xf numFmtId="9" fontId="7" fillId="0" borderId="101" xfId="2" applyFont="1" applyBorder="1" applyAlignment="1" applyProtection="1">
      <alignment horizontal="center" vertical="center" wrapText="1"/>
    </xf>
    <xf numFmtId="0" fontId="7" fillId="0" borderId="98" xfId="0" applyFont="1" applyBorder="1" applyAlignment="1" applyProtection="1">
      <alignment horizontal="center" vertical="center" wrapText="1"/>
    </xf>
    <xf numFmtId="9" fontId="7" fillId="0" borderId="99" xfId="2" applyFont="1" applyBorder="1" applyAlignment="1" applyProtection="1">
      <alignment horizontal="center" vertical="center" wrapText="1"/>
    </xf>
    <xf numFmtId="0" fontId="6" fillId="12" borderId="55" xfId="4" applyFont="1" applyFill="1" applyBorder="1" applyAlignment="1" applyProtection="1">
      <alignment horizontal="center"/>
    </xf>
    <xf numFmtId="0" fontId="6" fillId="12" borderId="56" xfId="4" applyFont="1" applyFill="1" applyBorder="1" applyAlignment="1" applyProtection="1">
      <alignment horizontal="center"/>
    </xf>
    <xf numFmtId="0" fontId="6" fillId="12" borderId="80" xfId="4" applyFont="1" applyFill="1" applyBorder="1" applyAlignment="1" applyProtection="1">
      <alignment horizontal="center"/>
    </xf>
    <xf numFmtId="0" fontId="6" fillId="12" borderId="66" xfId="4" applyFont="1" applyFill="1" applyBorder="1" applyAlignment="1" applyProtection="1">
      <alignment horizontal="center"/>
    </xf>
    <xf numFmtId="0" fontId="4" fillId="0" borderId="0" xfId="0" applyFont="1"/>
    <xf numFmtId="177" fontId="0" fillId="0" borderId="14" xfId="68" applyNumberFormat="1" applyFont="1" applyBorder="1"/>
    <xf numFmtId="0" fontId="0" fillId="0" borderId="93" xfId="0" applyBorder="1"/>
    <xf numFmtId="0" fontId="0" fillId="0" borderId="14" xfId="0" applyFill="1" applyBorder="1"/>
    <xf numFmtId="177" fontId="0" fillId="0" borderId="14" xfId="68" applyNumberFormat="1" applyFont="1" applyFill="1" applyBorder="1"/>
    <xf numFmtId="0" fontId="7" fillId="0" borderId="92" xfId="0" applyFont="1" applyBorder="1" applyAlignment="1" applyProtection="1">
      <alignment horizontal="center" vertical="center"/>
    </xf>
    <xf numFmtId="0" fontId="0" fillId="0" borderId="0" xfId="0" applyAlignment="1">
      <alignment wrapText="1"/>
    </xf>
    <xf numFmtId="0" fontId="7" fillId="0" borderId="21" xfId="0" applyFont="1" applyBorder="1" applyAlignment="1">
      <alignment wrapText="1"/>
    </xf>
    <xf numFmtId="0" fontId="4" fillId="0" borderId="21" xfId="0" applyFont="1" applyBorder="1" applyAlignment="1">
      <alignment wrapText="1"/>
    </xf>
    <xf numFmtId="0" fontId="6" fillId="11" borderId="117" xfId="0" applyFont="1" applyFill="1" applyBorder="1" applyAlignment="1">
      <alignment horizontal="center" vertical="center"/>
    </xf>
    <xf numFmtId="1" fontId="8" fillId="2" borderId="100" xfId="0" applyNumberFormat="1" applyFont="1" applyFill="1" applyBorder="1" applyAlignment="1" applyProtection="1">
      <alignment horizontal="center" vertical="center" wrapText="1"/>
    </xf>
    <xf numFmtId="1" fontId="8" fillId="2" borderId="21" xfId="0" applyNumberFormat="1" applyFont="1" applyFill="1" applyBorder="1" applyAlignment="1" applyProtection="1">
      <alignment horizontal="center" vertical="center" wrapText="1"/>
    </xf>
    <xf numFmtId="0" fontId="0" fillId="0" borderId="21" xfId="0" applyBorder="1" applyAlignment="1">
      <alignment wrapText="1"/>
    </xf>
    <xf numFmtId="1" fontId="7" fillId="0" borderId="21" xfId="0" applyNumberFormat="1" applyFont="1" applyBorder="1" applyAlignment="1">
      <alignment horizontal="center" wrapText="1"/>
    </xf>
    <xf numFmtId="0" fontId="0" fillId="0" borderId="101" xfId="0" applyBorder="1" applyAlignment="1">
      <alignment wrapText="1"/>
    </xf>
    <xf numFmtId="0" fontId="0" fillId="0" borderId="94" xfId="0" applyBorder="1" applyAlignment="1">
      <alignment horizontal="center"/>
    </xf>
    <xf numFmtId="0" fontId="0" fillId="13" borderId="94" xfId="0" applyFill="1" applyBorder="1" applyAlignment="1">
      <alignment horizontal="center"/>
    </xf>
    <xf numFmtId="0" fontId="7" fillId="3" borderId="32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 readingOrder="2"/>
    </xf>
    <xf numFmtId="0" fontId="7" fillId="3" borderId="32" xfId="0" applyFont="1" applyFill="1" applyBorder="1" applyAlignment="1" applyProtection="1">
      <alignment horizontal="center" vertical="center" wrapText="1"/>
    </xf>
    <xf numFmtId="170" fontId="0" fillId="0" borderId="21" xfId="0" applyNumberFormat="1" applyFill="1" applyBorder="1" applyAlignment="1" applyProtection="1">
      <alignment horizontal="center"/>
      <protection locked="0"/>
    </xf>
    <xf numFmtId="0" fontId="7" fillId="7" borderId="101" xfId="0" applyFont="1" applyFill="1" applyBorder="1" applyAlignment="1" applyProtection="1">
      <alignment horizontal="center"/>
    </xf>
    <xf numFmtId="0" fontId="7" fillId="7" borderId="93" xfId="0" applyFont="1" applyFill="1" applyBorder="1" applyAlignment="1" applyProtection="1">
      <alignment horizontal="center"/>
    </xf>
    <xf numFmtId="0" fontId="7" fillId="13" borderId="93" xfId="0" applyFont="1" applyFill="1" applyBorder="1" applyAlignment="1" applyProtection="1">
      <alignment horizontal="center"/>
    </xf>
    <xf numFmtId="0" fontId="0" fillId="0" borderId="5" xfId="0" applyBorder="1" applyAlignment="1" applyProtection="1">
      <alignment horizontal="center"/>
      <protection locked="0"/>
    </xf>
    <xf numFmtId="170" fontId="0" fillId="0" borderId="5" xfId="0" applyNumberFormat="1" applyFill="1" applyBorder="1" applyAlignment="1" applyProtection="1">
      <alignment horizontal="center"/>
      <protection locked="0"/>
    </xf>
    <xf numFmtId="3" fontId="0" fillId="0" borderId="5" xfId="0" applyNumberFormat="1" applyBorder="1" applyAlignment="1" applyProtection="1">
      <alignment horizontal="center"/>
      <protection locked="0"/>
    </xf>
    <xf numFmtId="0" fontId="0" fillId="7" borderId="5" xfId="0" applyFill="1" applyBorder="1" applyAlignment="1">
      <alignment horizontal="center"/>
    </xf>
    <xf numFmtId="165" fontId="0" fillId="0" borderId="5" xfId="0" applyNumberFormat="1" applyBorder="1" applyAlignment="1" applyProtection="1">
      <alignment horizontal="center"/>
      <protection locked="0"/>
    </xf>
    <xf numFmtId="0" fontId="7" fillId="7" borderId="99" xfId="0" applyFont="1" applyFill="1" applyBorder="1" applyAlignment="1" applyProtection="1">
      <alignment horizontal="center"/>
    </xf>
    <xf numFmtId="1" fontId="8" fillId="2" borderId="72" xfId="0" applyNumberFormat="1" applyFont="1" applyFill="1" applyBorder="1" applyAlignment="1">
      <alignment horizontal="center" vertical="center" wrapText="1"/>
    </xf>
    <xf numFmtId="1" fontId="8" fillId="2" borderId="11" xfId="0" applyNumberFormat="1" applyFont="1" applyFill="1" applyBorder="1" applyAlignment="1">
      <alignment horizontal="center" vertical="center" wrapText="1"/>
    </xf>
    <xf numFmtId="1" fontId="8" fillId="2" borderId="4" xfId="0" applyNumberFormat="1" applyFont="1" applyFill="1" applyBorder="1" applyAlignment="1">
      <alignment horizontal="center" vertical="center"/>
    </xf>
    <xf numFmtId="170" fontId="4" fillId="0" borderId="21" xfId="0" applyNumberFormat="1" applyFont="1" applyFill="1" applyBorder="1" applyAlignment="1" applyProtection="1">
      <alignment horizontal="center"/>
      <protection locked="0"/>
    </xf>
    <xf numFmtId="170" fontId="4" fillId="0" borderId="14" xfId="0" applyNumberFormat="1" applyFont="1" applyFill="1" applyBorder="1" applyAlignment="1" applyProtection="1">
      <alignment horizontal="center"/>
      <protection locked="0"/>
    </xf>
    <xf numFmtId="1" fontId="8" fillId="2" borderId="121" xfId="4" applyNumberFormat="1" applyFont="1" applyFill="1" applyBorder="1" applyAlignment="1" applyProtection="1">
      <alignment horizontal="center" vertical="center" wrapText="1"/>
    </xf>
    <xf numFmtId="1" fontId="8" fillId="2" borderId="122" xfId="4" applyNumberFormat="1" applyFont="1" applyFill="1" applyBorder="1" applyAlignment="1" applyProtection="1">
      <alignment horizontal="center" vertical="center" wrapText="1"/>
    </xf>
    <xf numFmtId="1" fontId="8" fillId="2" borderId="123" xfId="4" applyNumberFormat="1" applyFont="1" applyFill="1" applyBorder="1" applyAlignment="1" applyProtection="1">
      <alignment horizontal="center" vertical="center" wrapText="1"/>
    </xf>
    <xf numFmtId="1" fontId="8" fillId="2" borderId="124" xfId="4" applyNumberFormat="1" applyFont="1" applyFill="1" applyBorder="1" applyAlignment="1" applyProtection="1">
      <alignment horizontal="center" vertical="center" wrapText="1"/>
    </xf>
    <xf numFmtId="1" fontId="8" fillId="2" borderId="125" xfId="4" applyNumberFormat="1" applyFont="1" applyFill="1" applyBorder="1" applyAlignment="1" applyProtection="1">
      <alignment horizontal="center" vertical="center" wrapText="1"/>
    </xf>
    <xf numFmtId="1" fontId="7" fillId="7" borderId="72" xfId="0" applyNumberFormat="1" applyFont="1" applyFill="1" applyBorder="1" applyAlignment="1">
      <alignment horizontal="right"/>
    </xf>
    <xf numFmtId="175" fontId="29" fillId="0" borderId="93" xfId="6" applyNumberFormat="1" applyFont="1" applyFill="1" applyBorder="1" applyAlignment="1" applyProtection="1">
      <alignment horizontal="center" vertical="center" readingOrder="1"/>
      <protection locked="0"/>
    </xf>
    <xf numFmtId="175" fontId="29" fillId="0" borderId="99" xfId="6" applyNumberFormat="1" applyFont="1" applyFill="1" applyBorder="1" applyAlignment="1" applyProtection="1">
      <alignment horizontal="center" vertical="center" readingOrder="1"/>
      <protection locked="0"/>
    </xf>
    <xf numFmtId="175" fontId="29" fillId="0" borderId="5" xfId="6" applyNumberFormat="1" applyFont="1" applyFill="1" applyBorder="1" applyAlignment="1" applyProtection="1">
      <alignment horizontal="center" vertical="center" readingOrder="1"/>
      <protection locked="0"/>
    </xf>
    <xf numFmtId="1" fontId="57" fillId="39" borderId="100" xfId="51" applyNumberFormat="1" applyFont="1" applyFill="1" applyBorder="1" applyAlignment="1" applyProtection="1">
      <alignment horizontal="center" vertical="center" wrapText="1"/>
    </xf>
    <xf numFmtId="1" fontId="25" fillId="40" borderId="101" xfId="4" applyNumberFormat="1" applyFont="1" applyFill="1" applyBorder="1" applyAlignment="1" applyProtection="1">
      <alignment horizontal="center" vertical="center"/>
    </xf>
    <xf numFmtId="1" fontId="51" fillId="41" borderId="92" xfId="4" applyNumberFormat="1" applyFont="1" applyFill="1" applyBorder="1" applyAlignment="1" applyProtection="1">
      <alignment horizontal="center"/>
    </xf>
    <xf numFmtId="10" fontId="51" fillId="40" borderId="14" xfId="5" applyNumberFormat="1" applyFont="1" applyFill="1" applyBorder="1" applyAlignment="1" applyProtection="1">
      <alignment horizontal="center"/>
    </xf>
    <xf numFmtId="1" fontId="13" fillId="2" borderId="100" xfId="4" applyNumberFormat="1" applyFont="1" applyFill="1" applyBorder="1" applyAlignment="1" applyProtection="1">
      <alignment horizontal="center" vertical="center"/>
    </xf>
    <xf numFmtId="1" fontId="13" fillId="2" borderId="21" xfId="4" applyNumberFormat="1" applyFont="1" applyFill="1" applyBorder="1" applyAlignment="1" applyProtection="1">
      <alignment horizontal="center" vertical="center"/>
    </xf>
    <xf numFmtId="1" fontId="13" fillId="2" borderId="101" xfId="4" applyNumberFormat="1" applyFont="1" applyFill="1" applyBorder="1" applyAlignment="1" applyProtection="1">
      <alignment horizontal="center" vertical="center"/>
    </xf>
    <xf numFmtId="0" fontId="12" fillId="0" borderId="126" xfId="4" applyFont="1" applyBorder="1" applyAlignment="1" applyProtection="1">
      <alignment horizontal="right" vertical="center" wrapText="1" readingOrder="2"/>
    </xf>
    <xf numFmtId="0" fontId="12" fillId="0" borderId="32" xfId="4" applyFont="1" applyFill="1" applyBorder="1" applyAlignment="1" applyProtection="1">
      <alignment horizontal="center" vertical="center" wrapText="1"/>
    </xf>
    <xf numFmtId="0" fontId="12" fillId="0" borderId="100" xfId="4" applyFont="1" applyBorder="1" applyAlignment="1" applyProtection="1">
      <alignment horizontal="center" vertical="center" wrapText="1" readingOrder="2"/>
    </xf>
    <xf numFmtId="0" fontId="12" fillId="0" borderId="101" xfId="4" applyFont="1" applyBorder="1" applyAlignment="1" applyProtection="1">
      <alignment horizontal="center" vertical="center" wrapText="1" readingOrder="2"/>
    </xf>
    <xf numFmtId="9" fontId="12" fillId="0" borderId="98" xfId="2" applyFont="1" applyBorder="1" applyAlignment="1" applyProtection="1">
      <alignment horizontal="center" vertical="center" wrapText="1" readingOrder="2"/>
    </xf>
    <xf numFmtId="9" fontId="12" fillId="0" borderId="99" xfId="2" applyFont="1" applyBorder="1" applyAlignment="1" applyProtection="1">
      <alignment horizontal="center" vertical="center" wrapText="1" readingOrder="2"/>
    </xf>
    <xf numFmtId="0" fontId="7" fillId="7" borderId="112" xfId="0" applyFont="1" applyFill="1" applyBorder="1" applyAlignment="1">
      <alignment horizontal="center"/>
    </xf>
    <xf numFmtId="0" fontId="7" fillId="7" borderId="127" xfId="0" applyFont="1" applyFill="1" applyBorder="1" applyAlignment="1">
      <alignment horizontal="center"/>
    </xf>
    <xf numFmtId="0" fontId="7" fillId="7" borderId="128" xfId="0" applyFont="1" applyFill="1" applyBorder="1" applyAlignment="1">
      <alignment horizontal="center"/>
    </xf>
    <xf numFmtId="0" fontId="0" fillId="0" borderId="100" xfId="0" applyBorder="1" applyProtection="1">
      <protection locked="0"/>
    </xf>
    <xf numFmtId="0" fontId="0" fillId="0" borderId="92" xfId="0" applyBorder="1" applyProtection="1">
      <protection locked="0"/>
    </xf>
    <xf numFmtId="0" fontId="9" fillId="0" borderId="92" xfId="0" applyFont="1" applyBorder="1" applyProtection="1">
      <protection locked="0"/>
    </xf>
    <xf numFmtId="0" fontId="0" fillId="13" borderId="92" xfId="0" applyFill="1" applyBorder="1" applyProtection="1">
      <protection locked="0"/>
    </xf>
    <xf numFmtId="0" fontId="0" fillId="0" borderId="98" xfId="0" applyBorder="1" applyProtection="1">
      <protection locked="0"/>
    </xf>
    <xf numFmtId="0" fontId="53" fillId="0" borderId="0" xfId="4" applyFont="1" applyProtection="1"/>
    <xf numFmtId="1" fontId="51" fillId="45" borderId="100" xfId="70" applyNumberFormat="1" applyFont="1" applyFill="1" applyBorder="1" applyAlignment="1" applyProtection="1">
      <alignment horizontal="center" vertical="center"/>
    </xf>
    <xf numFmtId="1" fontId="51" fillId="45" borderId="21" xfId="70" applyNumberFormat="1" applyFont="1" applyFill="1" applyBorder="1" applyAlignment="1" applyProtection="1">
      <alignment horizontal="center" vertical="center"/>
    </xf>
    <xf numFmtId="1" fontId="51" fillId="45" borderId="101" xfId="70" applyNumberFormat="1" applyFont="1" applyFill="1" applyBorder="1" applyAlignment="1" applyProtection="1">
      <alignment horizontal="center" vertical="center"/>
    </xf>
    <xf numFmtId="1" fontId="26" fillId="2" borderId="90" xfId="4" applyNumberFormat="1" applyFont="1" applyFill="1" applyBorder="1" applyAlignment="1" applyProtection="1">
      <alignment horizontal="center" vertical="center"/>
    </xf>
    <xf numFmtId="1" fontId="26" fillId="2" borderId="3" xfId="4" applyNumberFormat="1" applyFont="1" applyFill="1" applyBorder="1" applyAlignment="1" applyProtection="1">
      <alignment horizontal="center" vertical="center"/>
    </xf>
    <xf numFmtId="1" fontId="26" fillId="2" borderId="91" xfId="4" applyNumberFormat="1" applyFont="1" applyFill="1" applyBorder="1" applyAlignment="1" applyProtection="1">
      <alignment horizontal="center" vertical="center"/>
    </xf>
    <xf numFmtId="1" fontId="51" fillId="41" borderId="14" xfId="4" applyNumberFormat="1" applyFont="1" applyFill="1" applyBorder="1" applyAlignment="1" applyProtection="1">
      <alignment horizontal="center" vertical="center" wrapText="1"/>
    </xf>
    <xf numFmtId="9" fontId="51" fillId="41" borderId="14" xfId="5" applyFont="1" applyFill="1" applyBorder="1" applyAlignment="1" applyProtection="1">
      <alignment horizontal="center" vertical="center"/>
    </xf>
    <xf numFmtId="0" fontId="25" fillId="0" borderId="100" xfId="4" applyFont="1" applyBorder="1" applyAlignment="1" applyProtection="1">
      <alignment horizontal="center" vertical="center"/>
    </xf>
    <xf numFmtId="9" fontId="25" fillId="0" borderId="29" xfId="5" applyFont="1" applyBorder="1" applyAlignment="1" applyProtection="1">
      <alignment horizontal="center" vertical="center"/>
    </xf>
    <xf numFmtId="0" fontId="25" fillId="0" borderId="98" xfId="4" applyFont="1" applyBorder="1" applyAlignment="1" applyProtection="1">
      <alignment horizontal="center" vertical="center"/>
    </xf>
    <xf numFmtId="9" fontId="25" fillId="0" borderId="132" xfId="5" applyFont="1" applyBorder="1" applyAlignment="1" applyProtection="1">
      <alignment horizontal="center" vertical="center"/>
    </xf>
    <xf numFmtId="1" fontId="51" fillId="40" borderId="101" xfId="4" applyNumberFormat="1" applyFont="1" applyFill="1" applyBorder="1" applyAlignment="1" applyProtection="1">
      <alignment horizontal="center" vertical="center"/>
    </xf>
    <xf numFmtId="0" fontId="59" fillId="39" borderId="98" xfId="70" applyFont="1" applyFill="1" applyBorder="1" applyAlignment="1" applyProtection="1">
      <alignment horizontal="center" vertical="center" wrapText="1"/>
    </xf>
    <xf numFmtId="165" fontId="51" fillId="40" borderId="99" xfId="4" applyNumberFormat="1" applyFont="1" applyFill="1" applyBorder="1" applyAlignment="1" applyProtection="1">
      <alignment horizontal="center" vertical="center"/>
    </xf>
    <xf numFmtId="0" fontId="50" fillId="39" borderId="90" xfId="71" applyFont="1" applyFill="1" applyBorder="1" applyAlignment="1" applyProtection="1">
      <alignment horizontal="center" vertical="center" wrapText="1"/>
    </xf>
    <xf numFmtId="0" fontId="50" fillId="39" borderId="3" xfId="71" applyFont="1" applyFill="1" applyBorder="1" applyAlignment="1" applyProtection="1">
      <alignment horizontal="center" vertical="center" wrapText="1"/>
    </xf>
    <xf numFmtId="0" fontId="60" fillId="0" borderId="0" xfId="4" applyFont="1" applyAlignment="1" applyProtection="1">
      <alignment horizontal="right" vertical="center"/>
    </xf>
    <xf numFmtId="1" fontId="51" fillId="41" borderId="14" xfId="4" applyNumberFormat="1" applyFont="1" applyFill="1" applyBorder="1" applyAlignment="1" applyProtection="1">
      <alignment horizontal="right"/>
    </xf>
    <xf numFmtId="9" fontId="51" fillId="41" borderId="14" xfId="5" applyFont="1" applyFill="1" applyBorder="1" applyAlignment="1" applyProtection="1">
      <alignment horizontal="right"/>
    </xf>
    <xf numFmtId="42" fontId="29" fillId="0" borderId="11" xfId="72" applyNumberFormat="1" applyFont="1" applyFill="1" applyBorder="1" applyAlignment="1" applyProtection="1">
      <alignment vertical="center" readingOrder="1"/>
      <protection locked="0"/>
    </xf>
    <xf numFmtId="1" fontId="29" fillId="0" borderId="11" xfId="72" applyNumberFormat="1" applyFont="1" applyFill="1" applyBorder="1" applyAlignment="1" applyProtection="1">
      <alignment horizontal="center" vertical="center" readingOrder="1"/>
      <protection locked="0"/>
    </xf>
    <xf numFmtId="178" fontId="51" fillId="41" borderId="14" xfId="4" applyNumberFormat="1" applyFont="1" applyFill="1" applyBorder="1" applyAlignment="1" applyProtection="1">
      <alignment horizontal="right"/>
    </xf>
    <xf numFmtId="164" fontId="51" fillId="41" borderId="14" xfId="5" applyNumberFormat="1" applyFont="1" applyFill="1" applyBorder="1" applyAlignment="1" applyProtection="1">
      <alignment horizontal="center"/>
    </xf>
    <xf numFmtId="0" fontId="51" fillId="41" borderId="14" xfId="4" applyNumberFormat="1" applyFont="1" applyFill="1" applyBorder="1" applyAlignment="1" applyProtection="1">
      <alignment horizontal="center"/>
    </xf>
    <xf numFmtId="44" fontId="51" fillId="40" borderId="14" xfId="6" applyNumberFormat="1" applyFont="1" applyFill="1" applyBorder="1" applyAlignment="1" applyProtection="1">
      <alignment horizontal="center"/>
    </xf>
    <xf numFmtId="0" fontId="53" fillId="0" borderId="0" xfId="4" applyFont="1"/>
    <xf numFmtId="166" fontId="53" fillId="0" borderId="0" xfId="5" applyNumberFormat="1" applyFont="1"/>
    <xf numFmtId="168" fontId="62" fillId="44" borderId="3" xfId="4" applyNumberFormat="1" applyFont="1" applyFill="1" applyBorder="1" applyAlignment="1">
      <alignment horizontal="right"/>
    </xf>
    <xf numFmtId="9" fontId="51" fillId="44" borderId="3" xfId="5" applyFont="1" applyFill="1" applyBorder="1" applyAlignment="1">
      <alignment horizontal="center" vertical="center"/>
    </xf>
    <xf numFmtId="168" fontId="62" fillId="44" borderId="91" xfId="4" applyNumberFormat="1" applyFont="1" applyFill="1" applyBorder="1" applyAlignment="1">
      <alignment horizontal="right"/>
    </xf>
    <xf numFmtId="168" fontId="62" fillId="44" borderId="0" xfId="4" applyNumberFormat="1" applyFont="1" applyFill="1" applyBorder="1" applyAlignment="1">
      <alignment horizontal="right"/>
    </xf>
    <xf numFmtId="10" fontId="53" fillId="0" borderId="0" xfId="5" applyNumberFormat="1" applyFont="1"/>
    <xf numFmtId="1" fontId="59" fillId="39" borderId="100" xfId="70" applyNumberFormat="1" applyFont="1" applyFill="1" applyBorder="1" applyAlignment="1" applyProtection="1">
      <alignment horizontal="center" vertical="center" wrapText="1"/>
    </xf>
    <xf numFmtId="0" fontId="4" fillId="0" borderId="92" xfId="0" applyFont="1" applyBorder="1" applyProtection="1">
      <protection locked="0"/>
    </xf>
    <xf numFmtId="0" fontId="7" fillId="0" borderId="21" xfId="0" applyFont="1" applyBorder="1" applyAlignment="1">
      <alignment horizontal="right" wrapText="1"/>
    </xf>
    <xf numFmtId="1" fontId="4" fillId="0" borderId="21" xfId="0" applyNumberFormat="1" applyFont="1" applyBorder="1" applyAlignment="1">
      <alignment horizontal="center" wrapText="1"/>
    </xf>
    <xf numFmtId="166" fontId="4" fillId="0" borderId="0" xfId="5" applyNumberFormat="1" applyProtection="1">
      <protection locked="0"/>
    </xf>
    <xf numFmtId="42" fontId="25" fillId="46" borderId="11" xfId="72" applyNumberFormat="1" applyFont="1" applyFill="1" applyBorder="1" applyAlignment="1" applyProtection="1">
      <alignment vertical="center" readingOrder="1"/>
      <protection locked="0"/>
    </xf>
    <xf numFmtId="42" fontId="25" fillId="0" borderId="11" xfId="72" applyNumberFormat="1" applyFont="1" applyFill="1" applyBorder="1" applyAlignment="1" applyProtection="1">
      <alignment vertical="center" readingOrder="1"/>
      <protection locked="0"/>
    </xf>
    <xf numFmtId="0" fontId="49" fillId="0" borderId="0" xfId="55" applyFont="1"/>
    <xf numFmtId="165" fontId="49" fillId="0" borderId="0" xfId="55" applyNumberFormat="1" applyFont="1"/>
    <xf numFmtId="165" fontId="25" fillId="40" borderId="99" xfId="4" applyNumberFormat="1" applyFont="1" applyFill="1" applyBorder="1" applyAlignment="1" applyProtection="1">
      <alignment horizontal="center" vertical="center"/>
    </xf>
    <xf numFmtId="3" fontId="49" fillId="0" borderId="0" xfId="55" applyNumberFormat="1" applyFont="1"/>
    <xf numFmtId="0" fontId="49" fillId="0" borderId="100" xfId="55" applyFont="1" applyBorder="1"/>
    <xf numFmtId="3" fontId="49" fillId="0" borderId="101" xfId="55" applyNumberFormat="1" applyFont="1" applyBorder="1"/>
    <xf numFmtId="0" fontId="49" fillId="0" borderId="92" xfId="55" applyFont="1" applyBorder="1"/>
    <xf numFmtId="0" fontId="49" fillId="0" borderId="93" xfId="55" applyFont="1" applyBorder="1"/>
    <xf numFmtId="0" fontId="50" fillId="0" borderId="0" xfId="55" applyFont="1"/>
    <xf numFmtId="0" fontId="50" fillId="0" borderId="92" xfId="55" applyFont="1" applyBorder="1"/>
    <xf numFmtId="0" fontId="50" fillId="0" borderId="93" xfId="55" applyFont="1" applyBorder="1"/>
    <xf numFmtId="9" fontId="51" fillId="41" borderId="14" xfId="5" applyFont="1" applyFill="1" applyBorder="1" applyAlignment="1" applyProtection="1">
      <alignment horizontal="center" vertical="center" wrapText="1"/>
    </xf>
    <xf numFmtId="9" fontId="50" fillId="0" borderId="0" xfId="2" applyFont="1"/>
    <xf numFmtId="0" fontId="50" fillId="0" borderId="92" xfId="55" applyFont="1" applyBorder="1" applyAlignment="1">
      <alignment horizontal="center" wrapText="1"/>
    </xf>
    <xf numFmtId="165" fontId="50" fillId="0" borderId="93" xfId="55" applyNumberFormat="1" applyFont="1" applyBorder="1"/>
    <xf numFmtId="165" fontId="50" fillId="0" borderId="0" xfId="55" applyNumberFormat="1" applyFont="1"/>
    <xf numFmtId="0" fontId="50" fillId="0" borderId="98" xfId="55" applyFont="1" applyBorder="1"/>
    <xf numFmtId="165" fontId="50" fillId="0" borderId="99" xfId="55" applyNumberFormat="1" applyFont="1" applyBorder="1"/>
    <xf numFmtId="0" fontId="50" fillId="39" borderId="21" xfId="55" applyFont="1" applyFill="1" applyBorder="1" applyAlignment="1" applyProtection="1">
      <alignment horizontal="center" vertical="center" wrapText="1"/>
    </xf>
    <xf numFmtId="0" fontId="50" fillId="39" borderId="5" xfId="55" applyFont="1" applyFill="1" applyBorder="1" applyAlignment="1" applyProtection="1">
      <alignment horizontal="center" vertical="center" wrapText="1"/>
    </xf>
    <xf numFmtId="1" fontId="29" fillId="41" borderId="92" xfId="4" applyNumberFormat="1" applyFont="1" applyFill="1" applyBorder="1" applyAlignment="1" applyProtection="1">
      <alignment horizontal="center"/>
    </xf>
    <xf numFmtId="1" fontId="29" fillId="41" borderId="14" xfId="4" applyNumberFormat="1" applyFont="1" applyFill="1" applyBorder="1" applyAlignment="1" applyProtection="1">
      <alignment horizontal="right"/>
    </xf>
    <xf numFmtId="3" fontId="29" fillId="41" borderId="11" xfId="5" applyNumberFormat="1" applyFont="1" applyFill="1" applyBorder="1" applyAlignment="1" applyProtection="1">
      <alignment horizontal="center"/>
    </xf>
    <xf numFmtId="3" fontId="29" fillId="0" borderId="11" xfId="75" applyNumberFormat="1" applyFont="1" applyFill="1" applyBorder="1" applyAlignment="1" applyProtection="1">
      <alignment horizontal="center" vertical="center" readingOrder="1"/>
      <protection locked="0"/>
    </xf>
    <xf numFmtId="0" fontId="29" fillId="0" borderId="11" xfId="75" applyNumberFormat="1" applyFont="1" applyFill="1" applyBorder="1" applyAlignment="1" applyProtection="1">
      <alignment horizontal="center" vertical="center" readingOrder="1"/>
      <protection locked="0"/>
    </xf>
    <xf numFmtId="0" fontId="51" fillId="40" borderId="11" xfId="72" applyNumberFormat="1" applyFont="1" applyFill="1" applyBorder="1" applyAlignment="1" applyProtection="1">
      <alignment horizontal="center"/>
    </xf>
    <xf numFmtId="0" fontId="51" fillId="41" borderId="14" xfId="5" applyNumberFormat="1" applyFont="1" applyFill="1" applyBorder="1" applyAlignment="1" applyProtection="1">
      <alignment horizontal="center"/>
    </xf>
    <xf numFmtId="3" fontId="51" fillId="41" borderId="14" xfId="5" applyNumberFormat="1" applyFont="1" applyFill="1" applyBorder="1" applyAlignment="1" applyProtection="1">
      <alignment horizontal="center"/>
    </xf>
    <xf numFmtId="42" fontId="51" fillId="40" borderId="93" xfId="72" applyNumberFormat="1" applyFont="1" applyFill="1" applyBorder="1" applyAlignment="1" applyProtection="1">
      <alignment horizontal="center"/>
    </xf>
    <xf numFmtId="3" fontId="51" fillId="44" borderId="136" xfId="5" applyNumberFormat="1" applyFont="1" applyFill="1" applyBorder="1" applyAlignment="1" applyProtection="1">
      <alignment horizontal="center" vertical="center"/>
    </xf>
    <xf numFmtId="3" fontId="51" fillId="44" borderId="3" xfId="5" applyNumberFormat="1" applyFont="1" applyFill="1" applyBorder="1" applyAlignment="1" applyProtection="1">
      <alignment horizontal="center" vertical="center"/>
    </xf>
    <xf numFmtId="0" fontId="51" fillId="44" borderId="3" xfId="5" applyNumberFormat="1" applyFont="1" applyFill="1" applyBorder="1" applyAlignment="1" applyProtection="1">
      <alignment horizontal="center" vertical="center"/>
    </xf>
    <xf numFmtId="9" fontId="51" fillId="44" borderId="3" xfId="75" applyFont="1" applyFill="1" applyBorder="1" applyAlignment="1" applyProtection="1">
      <alignment horizontal="center" vertical="center"/>
    </xf>
    <xf numFmtId="178" fontId="51" fillId="44" borderId="91" xfId="6" applyNumberFormat="1" applyFont="1" applyFill="1" applyBorder="1" applyAlignment="1">
      <alignment horizontal="center" vertical="center"/>
    </xf>
    <xf numFmtId="0" fontId="50" fillId="39" borderId="121" xfId="53" applyFont="1" applyFill="1" applyBorder="1" applyAlignment="1" applyProtection="1">
      <alignment horizontal="center" vertical="center" wrapText="1"/>
    </xf>
    <xf numFmtId="1" fontId="51" fillId="41" borderId="14" xfId="4" applyNumberFormat="1" applyFont="1" applyFill="1" applyBorder="1" applyAlignment="1" applyProtection="1">
      <alignment horizontal="center"/>
    </xf>
    <xf numFmtId="1" fontId="29" fillId="0" borderId="14" xfId="36" applyNumberFormat="1" applyFont="1" applyFill="1" applyBorder="1" applyAlignment="1" applyProtection="1">
      <alignment horizontal="center" vertical="center" readingOrder="1"/>
      <protection locked="0"/>
    </xf>
    <xf numFmtId="10" fontId="29" fillId="43" borderId="21" xfId="2" applyNumberFormat="1" applyFont="1" applyFill="1" applyBorder="1" applyAlignment="1" applyProtection="1">
      <alignment horizontal="center"/>
    </xf>
    <xf numFmtId="1" fontId="29" fillId="0" borderId="21" xfId="36" applyNumberFormat="1" applyFont="1" applyFill="1" applyBorder="1" applyAlignment="1" applyProtection="1">
      <alignment horizontal="center" vertical="center" readingOrder="1"/>
      <protection locked="0"/>
    </xf>
    <xf numFmtId="0" fontId="29" fillId="41" borderId="21" xfId="2" applyNumberFormat="1" applyFont="1" applyFill="1" applyBorder="1" applyAlignment="1" applyProtection="1">
      <alignment horizontal="center"/>
    </xf>
    <xf numFmtId="10" fontId="29" fillId="40" borderId="21" xfId="2" applyNumberFormat="1" applyFont="1" applyFill="1" applyBorder="1" applyAlignment="1" applyProtection="1">
      <alignment horizontal="center"/>
    </xf>
    <xf numFmtId="10" fontId="51" fillId="40" borderId="21" xfId="2" applyNumberFormat="1" applyFont="1" applyFill="1" applyBorder="1" applyAlignment="1" applyProtection="1">
      <alignment horizontal="center"/>
    </xf>
    <xf numFmtId="165" fontId="51" fillId="40" borderId="101" xfId="4" applyNumberFormat="1" applyFont="1" applyFill="1" applyBorder="1" applyAlignment="1" applyProtection="1">
      <alignment horizontal="center"/>
    </xf>
    <xf numFmtId="165" fontId="51" fillId="40" borderId="93" xfId="4" applyNumberFormat="1" applyFont="1" applyFill="1" applyBorder="1" applyAlignment="1" applyProtection="1">
      <alignment horizontal="center"/>
    </xf>
    <xf numFmtId="10" fontId="29" fillId="43" borderId="5" xfId="2" applyNumberFormat="1" applyFont="1" applyFill="1" applyBorder="1" applyAlignment="1" applyProtection="1">
      <alignment horizontal="center"/>
    </xf>
    <xf numFmtId="1" fontId="29" fillId="0" borderId="5" xfId="36" applyNumberFormat="1" applyFont="1" applyFill="1" applyBorder="1" applyAlignment="1" applyProtection="1">
      <alignment horizontal="center" vertical="center" readingOrder="1"/>
      <protection locked="0"/>
    </xf>
    <xf numFmtId="0" fontId="29" fillId="41" borderId="5" xfId="2" applyNumberFormat="1" applyFont="1" applyFill="1" applyBorder="1" applyAlignment="1" applyProtection="1">
      <alignment horizontal="center"/>
    </xf>
    <xf numFmtId="10" fontId="29" fillId="40" borderId="5" xfId="2" applyNumberFormat="1" applyFont="1" applyFill="1" applyBorder="1" applyAlignment="1" applyProtection="1">
      <alignment horizontal="center"/>
    </xf>
    <xf numFmtId="10" fontId="51" fillId="40" borderId="5" xfId="2" applyNumberFormat="1" applyFont="1" applyFill="1" applyBorder="1" applyAlignment="1" applyProtection="1">
      <alignment horizontal="center"/>
    </xf>
    <xf numFmtId="165" fontId="51" fillId="40" borderId="99" xfId="4" applyNumberFormat="1" applyFont="1" applyFill="1" applyBorder="1" applyAlignment="1" applyProtection="1">
      <alignment horizontal="center"/>
    </xf>
    <xf numFmtId="10" fontId="18" fillId="8" borderId="22" xfId="2" applyNumberFormat="1" applyFont="1" applyFill="1" applyBorder="1" applyAlignment="1">
      <alignment horizontal="right"/>
    </xf>
    <xf numFmtId="0" fontId="63" fillId="0" borderId="14" xfId="0" applyFont="1" applyBorder="1" applyAlignment="1" applyProtection="1">
      <alignment horizontal="right"/>
      <protection locked="0"/>
    </xf>
    <xf numFmtId="0" fontId="63" fillId="0" borderId="14" xfId="0" applyFont="1" applyBorder="1" applyAlignment="1" applyProtection="1">
      <alignment horizontal="right" vertical="top"/>
      <protection locked="0"/>
    </xf>
    <xf numFmtId="0" fontId="63" fillId="15" borderId="14" xfId="0" applyFont="1" applyFill="1" applyBorder="1" applyAlignment="1" applyProtection="1">
      <alignment horizontal="right" vertical="top"/>
      <protection locked="0"/>
    </xf>
    <xf numFmtId="0" fontId="63" fillId="15" borderId="14" xfId="0" applyFont="1" applyFill="1" applyBorder="1" applyAlignment="1" applyProtection="1">
      <alignment horizontal="right"/>
      <protection locked="0"/>
    </xf>
    <xf numFmtId="165" fontId="7" fillId="0" borderId="22" xfId="0" applyNumberFormat="1" applyFont="1" applyFill="1" applyBorder="1" applyAlignment="1" applyProtection="1">
      <alignment horizontal="right"/>
      <protection locked="0"/>
    </xf>
    <xf numFmtId="165" fontId="7" fillId="0" borderId="15" xfId="0" applyNumberFormat="1" applyFont="1" applyFill="1" applyBorder="1" applyAlignment="1" applyProtection="1">
      <alignment horizontal="right"/>
      <protection locked="0"/>
    </xf>
    <xf numFmtId="0" fontId="64" fillId="0" borderId="0" xfId="55" applyFont="1"/>
    <xf numFmtId="1" fontId="51" fillId="41" borderId="14" xfId="4" applyNumberFormat="1" applyFont="1" applyFill="1" applyBorder="1" applyAlignment="1" applyProtection="1">
      <alignment horizontal="right"/>
      <protection locked="0"/>
    </xf>
    <xf numFmtId="0" fontId="7" fillId="0" borderId="16" xfId="0" applyFont="1" applyBorder="1" applyProtection="1"/>
    <xf numFmtId="0" fontId="0" fillId="0" borderId="21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165" fontId="0" fillId="15" borderId="21" xfId="0" applyNumberFormat="1" applyFill="1" applyBorder="1" applyAlignment="1" applyProtection="1">
      <alignment horizontal="center"/>
    </xf>
    <xf numFmtId="165" fontId="0" fillId="15" borderId="14" xfId="0" applyNumberFormat="1" applyFill="1" applyBorder="1" applyAlignment="1" applyProtection="1">
      <alignment horizontal="center"/>
    </xf>
    <xf numFmtId="165" fontId="0" fillId="14" borderId="14" xfId="0" applyNumberFormat="1" applyFill="1" applyBorder="1" applyAlignment="1" applyProtection="1">
      <alignment horizontal="center"/>
    </xf>
    <xf numFmtId="165" fontId="0" fillId="0" borderId="14" xfId="0" applyNumberFormat="1" applyBorder="1" applyAlignment="1" applyProtection="1">
      <alignment horizontal="center"/>
    </xf>
    <xf numFmtId="165" fontId="0" fillId="0" borderId="5" xfId="0" applyNumberFormat="1" applyBorder="1" applyAlignment="1" applyProtection="1">
      <alignment horizontal="center"/>
    </xf>
    <xf numFmtId="1" fontId="0" fillId="15" borderId="21" xfId="0" applyNumberFormat="1" applyFill="1" applyBorder="1" applyAlignment="1" applyProtection="1">
      <alignment horizontal="center"/>
      <protection locked="0"/>
    </xf>
    <xf numFmtId="1" fontId="0" fillId="15" borderId="14" xfId="0" applyNumberFormat="1" applyFill="1" applyBorder="1" applyAlignment="1" applyProtection="1">
      <alignment horizontal="center"/>
      <protection locked="0"/>
    </xf>
    <xf numFmtId="1" fontId="0" fillId="14" borderId="14" xfId="0" applyNumberFormat="1" applyFill="1" applyBorder="1" applyAlignment="1" applyProtection="1">
      <alignment horizontal="center"/>
      <protection locked="0"/>
    </xf>
    <xf numFmtId="1" fontId="0" fillId="0" borderId="5" xfId="0" applyNumberFormat="1" applyBorder="1" applyAlignment="1" applyProtection="1">
      <alignment horizontal="center"/>
      <protection locked="0"/>
    </xf>
    <xf numFmtId="164" fontId="8" fillId="2" borderId="5" xfId="2" applyNumberFormat="1" applyFont="1" applyFill="1" applyBorder="1" applyAlignment="1">
      <alignment horizontal="center" vertical="center" wrapText="1"/>
    </xf>
    <xf numFmtId="22" fontId="0" fillId="0" borderId="0" xfId="0" applyNumberFormat="1"/>
    <xf numFmtId="0" fontId="7" fillId="0" borderId="95" xfId="5" applyNumberFormat="1" applyFont="1" applyFill="1" applyBorder="1" applyAlignment="1" applyProtection="1">
      <alignment horizontal="center"/>
    </xf>
    <xf numFmtId="0" fontId="7" fillId="0" borderId="58" xfId="0" applyFont="1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</xf>
    <xf numFmtId="0" fontId="15" fillId="11" borderId="55" xfId="0" applyFont="1" applyFill="1" applyBorder="1" applyAlignment="1" applyProtection="1">
      <alignment horizontal="center"/>
    </xf>
    <xf numFmtId="0" fontId="15" fillId="11" borderId="56" xfId="0" applyFont="1" applyFill="1" applyBorder="1" applyAlignment="1" applyProtection="1">
      <alignment horizontal="center"/>
    </xf>
    <xf numFmtId="0" fontId="15" fillId="11" borderId="66" xfId="0" applyFont="1" applyFill="1" applyBorder="1" applyAlignment="1" applyProtection="1">
      <alignment horizontal="center"/>
    </xf>
    <xf numFmtId="0" fontId="6" fillId="12" borderId="38" xfId="0" applyFont="1" applyFill="1" applyBorder="1" applyAlignment="1" applyProtection="1">
      <alignment horizontal="center"/>
    </xf>
    <xf numFmtId="0" fontId="6" fillId="12" borderId="52" xfId="0" applyFont="1" applyFill="1" applyBorder="1" applyAlignment="1" applyProtection="1">
      <alignment horizontal="center"/>
    </xf>
    <xf numFmtId="0" fontId="6" fillId="12" borderId="53" xfId="0" applyFont="1" applyFill="1" applyBorder="1" applyAlignment="1" applyProtection="1">
      <alignment horizontal="center"/>
    </xf>
    <xf numFmtId="0" fontId="15" fillId="11" borderId="55" xfId="0" applyFont="1" applyFill="1" applyBorder="1" applyAlignment="1" applyProtection="1">
      <alignment horizontal="center" vertical="center"/>
    </xf>
    <xf numFmtId="0" fontId="15" fillId="11" borderId="66" xfId="0" applyFont="1" applyFill="1" applyBorder="1" applyAlignment="1" applyProtection="1">
      <alignment horizontal="center" vertical="center"/>
    </xf>
    <xf numFmtId="0" fontId="6" fillId="12" borderId="55" xfId="0" applyFont="1" applyFill="1" applyBorder="1" applyAlignment="1" applyProtection="1">
      <alignment horizontal="center"/>
    </xf>
    <xf numFmtId="0" fontId="6" fillId="12" borderId="66" xfId="0" applyFont="1" applyFill="1" applyBorder="1" applyAlignment="1" applyProtection="1">
      <alignment horizontal="center"/>
    </xf>
    <xf numFmtId="0" fontId="6" fillId="12" borderId="69" xfId="0" applyFont="1" applyFill="1" applyBorder="1" applyAlignment="1" applyProtection="1">
      <alignment horizontal="center"/>
    </xf>
    <xf numFmtId="0" fontId="6" fillId="12" borderId="70" xfId="0" applyFont="1" applyFill="1" applyBorder="1" applyAlignment="1" applyProtection="1">
      <alignment horizontal="center"/>
    </xf>
    <xf numFmtId="0" fontId="7" fillId="0" borderId="62" xfId="0" applyFont="1" applyBorder="1" applyAlignment="1" applyProtection="1">
      <alignment horizontal="right" vertical="center" wrapText="1"/>
    </xf>
    <xf numFmtId="0" fontId="0" fillId="0" borderId="63" xfId="0" applyBorder="1" applyAlignment="1" applyProtection="1"/>
    <xf numFmtId="0" fontId="6" fillId="12" borderId="38" xfId="0" applyFont="1" applyFill="1" applyBorder="1" applyAlignment="1" applyProtection="1">
      <alignment horizontal="center" vertical="center"/>
    </xf>
    <xf numFmtId="0" fontId="6" fillId="12" borderId="52" xfId="0" applyFont="1" applyFill="1" applyBorder="1" applyAlignment="1" applyProtection="1">
      <alignment horizontal="center" vertical="center"/>
    </xf>
    <xf numFmtId="0" fontId="6" fillId="12" borderId="53" xfId="0" applyFont="1" applyFill="1" applyBorder="1" applyAlignment="1" applyProtection="1">
      <alignment horizontal="center" vertical="center"/>
    </xf>
    <xf numFmtId="1" fontId="8" fillId="2" borderId="1" xfId="0" applyNumberFormat="1" applyFont="1" applyFill="1" applyBorder="1" applyAlignment="1" applyProtection="1">
      <alignment horizontal="center" vertical="center"/>
    </xf>
    <xf numFmtId="1" fontId="8" fillId="2" borderId="3" xfId="0" applyNumberFormat="1" applyFont="1" applyFill="1" applyBorder="1" applyAlignment="1" applyProtection="1">
      <alignment horizontal="center" vertical="center"/>
    </xf>
    <xf numFmtId="0" fontId="7" fillId="0" borderId="64" xfId="0" applyFont="1" applyBorder="1" applyAlignment="1" applyProtection="1">
      <alignment horizontal="right" vertical="center"/>
    </xf>
    <xf numFmtId="0" fontId="0" fillId="0" borderId="65" xfId="0" applyBorder="1" applyAlignment="1" applyProtection="1"/>
    <xf numFmtId="0" fontId="6" fillId="12" borderId="56" xfId="0" applyFont="1" applyFill="1" applyBorder="1" applyAlignment="1" applyProtection="1">
      <alignment horizontal="center"/>
    </xf>
    <xf numFmtId="0" fontId="15" fillId="11" borderId="56" xfId="0" applyFont="1" applyFill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right" vertical="center" wrapText="1"/>
    </xf>
    <xf numFmtId="0" fontId="7" fillId="0" borderId="11" xfId="0" applyFont="1" applyBorder="1" applyAlignment="1" applyProtection="1">
      <alignment horizontal="right" vertical="center" wrapText="1"/>
    </xf>
    <xf numFmtId="0" fontId="7" fillId="0" borderId="16" xfId="0" applyFont="1" applyBorder="1" applyAlignment="1" applyProtection="1"/>
    <xf numFmtId="0" fontId="7" fillId="0" borderId="17" xfId="0" applyFont="1" applyBorder="1" applyAlignment="1" applyProtection="1"/>
    <xf numFmtId="0" fontId="7" fillId="0" borderId="12" xfId="0" applyFont="1" applyBorder="1" applyAlignment="1" applyProtection="1">
      <alignment horizontal="center" vertical="center" wrapText="1"/>
    </xf>
    <xf numFmtId="0" fontId="7" fillId="0" borderId="18" xfId="0" applyFont="1" applyBorder="1" applyAlignment="1" applyProtection="1">
      <alignment horizontal="center" vertical="center" wrapText="1"/>
    </xf>
    <xf numFmtId="1" fontId="8" fillId="2" borderId="38" xfId="0" applyNumberFormat="1" applyFont="1" applyFill="1" applyBorder="1" applyAlignment="1" applyProtection="1">
      <alignment horizontal="center" vertical="center"/>
    </xf>
    <xf numFmtId="1" fontId="8" fillId="2" borderId="67" xfId="0" applyNumberFormat="1" applyFont="1" applyFill="1" applyBorder="1" applyAlignment="1" applyProtection="1">
      <alignment horizontal="center" vertical="center"/>
    </xf>
    <xf numFmtId="0" fontId="15" fillId="11" borderId="51" xfId="0" applyFont="1" applyFill="1" applyBorder="1" applyAlignment="1" applyProtection="1">
      <alignment horizontal="center" vertical="center"/>
    </xf>
    <xf numFmtId="0" fontId="15" fillId="11" borderId="68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/>
    </xf>
    <xf numFmtId="0" fontId="6" fillId="12" borderId="7" xfId="0" applyFont="1" applyFill="1" applyBorder="1" applyAlignment="1" applyProtection="1">
      <alignment horizontal="center"/>
    </xf>
    <xf numFmtId="0" fontId="15" fillId="11" borderId="55" xfId="0" applyFont="1" applyFill="1" applyBorder="1" applyAlignment="1" applyProtection="1">
      <alignment horizontal="center" vertical="center" wrapText="1"/>
    </xf>
    <xf numFmtId="0" fontId="15" fillId="11" borderId="66" xfId="0" applyFont="1" applyFill="1" applyBorder="1" applyAlignment="1" applyProtection="1">
      <alignment horizontal="center" vertical="center" wrapText="1"/>
    </xf>
    <xf numFmtId="0" fontId="15" fillId="11" borderId="114" xfId="0" applyFont="1" applyFill="1" applyBorder="1" applyAlignment="1" applyProtection="1">
      <alignment horizontal="center"/>
    </xf>
    <xf numFmtId="0" fontId="15" fillId="11" borderId="115" xfId="0" applyFont="1" applyFill="1" applyBorder="1" applyAlignment="1" applyProtection="1">
      <alignment horizontal="center"/>
    </xf>
    <xf numFmtId="0" fontId="15" fillId="12" borderId="38" xfId="0" applyFont="1" applyFill="1" applyBorder="1" applyAlignment="1" applyProtection="1">
      <alignment horizontal="center" vertical="center"/>
    </xf>
    <xf numFmtId="0" fontId="15" fillId="12" borderId="52" xfId="0" applyFont="1" applyFill="1" applyBorder="1" applyAlignment="1" applyProtection="1">
      <alignment horizontal="center" vertical="center"/>
    </xf>
    <xf numFmtId="0" fontId="15" fillId="12" borderId="53" xfId="0" applyFont="1" applyFill="1" applyBorder="1" applyAlignment="1" applyProtection="1">
      <alignment horizontal="center" vertical="center"/>
    </xf>
    <xf numFmtId="0" fontId="7" fillId="0" borderId="86" xfId="0" applyFont="1" applyBorder="1" applyAlignment="1">
      <alignment horizontal="center"/>
    </xf>
    <xf numFmtId="0" fontId="7" fillId="0" borderId="87" xfId="0" applyFont="1" applyBorder="1" applyAlignment="1">
      <alignment horizontal="center"/>
    </xf>
    <xf numFmtId="0" fontId="7" fillId="0" borderId="88" xfId="0" applyFont="1" applyBorder="1" applyAlignment="1">
      <alignment horizontal="center"/>
    </xf>
    <xf numFmtId="1" fontId="8" fillId="2" borderId="116" xfId="0" applyNumberFormat="1" applyFont="1" applyFill="1" applyBorder="1" applyAlignment="1">
      <alignment horizontal="center" vertical="center" wrapText="1"/>
    </xf>
    <xf numFmtId="1" fontId="8" fillId="2" borderId="28" xfId="0" applyNumberFormat="1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65" fontId="22" fillId="9" borderId="116" xfId="0" applyNumberFormat="1" applyFont="1" applyFill="1" applyBorder="1" applyAlignment="1">
      <alignment horizontal="center" vertical="center"/>
    </xf>
    <xf numFmtId="165" fontId="22" fillId="9" borderId="58" xfId="0" applyNumberFormat="1" applyFont="1" applyFill="1" applyBorder="1" applyAlignment="1">
      <alignment horizontal="center" vertical="center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4" xfId="0" applyNumberFormat="1" applyFont="1" applyFill="1" applyBorder="1" applyAlignment="1">
      <alignment horizontal="center" vertical="center" wrapText="1"/>
    </xf>
    <xf numFmtId="0" fontId="6" fillId="12" borderId="98" xfId="0" applyFont="1" applyFill="1" applyBorder="1" applyAlignment="1">
      <alignment horizontal="center"/>
    </xf>
    <xf numFmtId="0" fontId="6" fillId="12" borderId="5" xfId="0" applyFont="1" applyFill="1" applyBorder="1" applyAlignment="1">
      <alignment horizontal="center"/>
    </xf>
    <xf numFmtId="0" fontId="6" fillId="12" borderId="99" xfId="0" applyFont="1" applyFill="1" applyBorder="1" applyAlignment="1">
      <alignment horizontal="center"/>
    </xf>
    <xf numFmtId="1" fontId="8" fillId="2" borderId="12" xfId="0" applyNumberFormat="1" applyFont="1" applyFill="1" applyBorder="1" applyAlignment="1">
      <alignment horizontal="center" vertical="center" wrapText="1"/>
    </xf>
    <xf numFmtId="1" fontId="8" fillId="2" borderId="120" xfId="0" applyNumberFormat="1" applyFont="1" applyFill="1" applyBorder="1" applyAlignment="1">
      <alignment horizontal="center" vertical="center" wrapText="1"/>
    </xf>
    <xf numFmtId="1" fontId="8" fillId="2" borderId="10" xfId="0" applyNumberFormat="1" applyFont="1" applyFill="1" applyBorder="1" applyAlignment="1">
      <alignment horizontal="center" vertical="center" wrapText="1"/>
    </xf>
    <xf numFmtId="1" fontId="8" fillId="2" borderId="31" xfId="0" applyNumberFormat="1" applyFont="1" applyFill="1" applyBorder="1" applyAlignment="1">
      <alignment horizontal="center" vertical="center" wrapText="1"/>
    </xf>
    <xf numFmtId="1" fontId="8" fillId="2" borderId="72" xfId="0" applyNumberFormat="1" applyFont="1" applyFill="1" applyBorder="1" applyAlignment="1">
      <alignment horizontal="center" vertical="center" wrapText="1"/>
    </xf>
    <xf numFmtId="1" fontId="8" fillId="2" borderId="82" xfId="0" applyNumberFormat="1" applyFont="1" applyFill="1" applyBorder="1" applyAlignment="1">
      <alignment horizontal="center" vertical="center" wrapText="1"/>
    </xf>
    <xf numFmtId="1" fontId="8" fillId="2" borderId="11" xfId="0" applyNumberFormat="1" applyFont="1" applyFill="1" applyBorder="1" applyAlignment="1">
      <alignment horizontal="center" vertical="center" wrapText="1"/>
    </xf>
    <xf numFmtId="1" fontId="8" fillId="2" borderId="32" xfId="0" applyNumberFormat="1" applyFont="1" applyFill="1" applyBorder="1" applyAlignment="1">
      <alignment horizontal="center" vertical="center" wrapText="1"/>
    </xf>
    <xf numFmtId="1" fontId="8" fillId="2" borderId="118" xfId="0" applyNumberFormat="1" applyFont="1" applyFill="1" applyBorder="1" applyAlignment="1">
      <alignment horizontal="center" vertical="center" wrapText="1"/>
    </xf>
    <xf numFmtId="1" fontId="8" fillId="2" borderId="119" xfId="0" applyNumberFormat="1" applyFont="1" applyFill="1" applyBorder="1" applyAlignment="1">
      <alignment horizontal="center" vertical="center" wrapText="1"/>
    </xf>
    <xf numFmtId="1" fontId="8" fillId="14" borderId="116" xfId="0" applyNumberFormat="1" applyFont="1" applyFill="1" applyBorder="1" applyAlignment="1" applyProtection="1">
      <alignment horizontal="center" vertical="center" wrapText="1"/>
    </xf>
    <xf numFmtId="1" fontId="8" fillId="14" borderId="77" xfId="0" applyNumberFormat="1" applyFont="1" applyFill="1" applyBorder="1" applyAlignment="1" applyProtection="1">
      <alignment horizontal="center" vertical="center" wrapText="1"/>
    </xf>
    <xf numFmtId="1" fontId="8" fillId="2" borderId="77" xfId="0" applyNumberFormat="1" applyFont="1" applyFill="1" applyBorder="1" applyAlignment="1">
      <alignment horizontal="center" vertical="center" wrapText="1"/>
    </xf>
    <xf numFmtId="0" fontId="6" fillId="12" borderId="55" xfId="0" applyFont="1" applyFill="1" applyBorder="1" applyAlignment="1">
      <alignment horizontal="center"/>
    </xf>
    <xf numFmtId="0" fontId="6" fillId="12" borderId="56" xfId="0" applyFont="1" applyFill="1" applyBorder="1" applyAlignment="1">
      <alignment horizontal="center"/>
    </xf>
    <xf numFmtId="0" fontId="6" fillId="12" borderId="66" xfId="0" applyFont="1" applyFill="1" applyBorder="1" applyAlignment="1">
      <alignment horizontal="center"/>
    </xf>
    <xf numFmtId="0" fontId="11" fillId="4" borderId="55" xfId="0" applyFont="1" applyFill="1" applyBorder="1" applyAlignment="1">
      <alignment horizontal="center"/>
    </xf>
    <xf numFmtId="0" fontId="11" fillId="4" borderId="73" xfId="0" applyFont="1" applyFill="1" applyBorder="1" applyAlignment="1">
      <alignment horizontal="center"/>
    </xf>
    <xf numFmtId="1" fontId="8" fillId="2" borderId="38" xfId="0" applyNumberFormat="1" applyFont="1" applyFill="1" applyBorder="1" applyAlignment="1">
      <alignment horizontal="center" vertical="center"/>
    </xf>
    <xf numFmtId="1" fontId="8" fillId="2" borderId="67" xfId="0" applyNumberFormat="1" applyFont="1" applyFill="1" applyBorder="1" applyAlignment="1">
      <alignment horizontal="center" vertical="center"/>
    </xf>
    <xf numFmtId="0" fontId="6" fillId="11" borderId="51" xfId="0" applyFont="1" applyFill="1" applyBorder="1" applyAlignment="1">
      <alignment horizontal="center" vertical="center"/>
    </xf>
    <xf numFmtId="0" fontId="6" fillId="11" borderId="68" xfId="0" applyFont="1" applyFill="1" applyBorder="1" applyAlignment="1">
      <alignment horizontal="center" vertical="center"/>
    </xf>
    <xf numFmtId="1" fontId="8" fillId="2" borderId="74" xfId="0" applyNumberFormat="1" applyFont="1" applyFill="1" applyBorder="1" applyAlignment="1">
      <alignment horizontal="center" vertical="center" wrapText="1"/>
    </xf>
    <xf numFmtId="1" fontId="8" fillId="2" borderId="75" xfId="0" applyNumberFormat="1" applyFont="1" applyFill="1" applyBorder="1" applyAlignment="1">
      <alignment horizontal="center" vertical="center" wrapText="1"/>
    </xf>
    <xf numFmtId="1" fontId="8" fillId="2" borderId="76" xfId="0" applyNumberFormat="1" applyFont="1" applyFill="1" applyBorder="1" applyAlignment="1">
      <alignment horizontal="center" vertical="center" wrapText="1"/>
    </xf>
    <xf numFmtId="1" fontId="8" fillId="2" borderId="35" xfId="0" applyNumberFormat="1" applyFont="1" applyFill="1" applyBorder="1" applyAlignment="1">
      <alignment horizontal="center" vertical="center" wrapText="1"/>
    </xf>
    <xf numFmtId="1" fontId="8" fillId="2" borderId="52" xfId="0" applyNumberFormat="1" applyFont="1" applyFill="1" applyBorder="1" applyAlignment="1">
      <alignment horizontal="center" vertical="center" wrapText="1"/>
    </xf>
    <xf numFmtId="1" fontId="8" fillId="2" borderId="67" xfId="0" applyNumberFormat="1" applyFont="1" applyFill="1" applyBorder="1" applyAlignment="1">
      <alignment horizontal="center" vertical="center" wrapText="1"/>
    </xf>
    <xf numFmtId="1" fontId="8" fillId="2" borderId="78" xfId="0" applyNumberFormat="1" applyFont="1" applyFill="1" applyBorder="1" applyAlignment="1">
      <alignment horizontal="center" vertical="center" wrapText="1"/>
    </xf>
    <xf numFmtId="1" fontId="8" fillId="2" borderId="79" xfId="0" applyNumberFormat="1" applyFont="1" applyFill="1" applyBorder="1" applyAlignment="1">
      <alignment horizontal="center" vertical="center" wrapText="1"/>
    </xf>
    <xf numFmtId="0" fontId="7" fillId="12" borderId="69" xfId="0" applyFont="1" applyFill="1" applyBorder="1" applyAlignment="1">
      <alignment horizontal="center"/>
    </xf>
    <xf numFmtId="0" fontId="9" fillId="0" borderId="80" xfId="0" applyFont="1" applyBorder="1"/>
    <xf numFmtId="0" fontId="9" fillId="0" borderId="70" xfId="0" applyFont="1" applyBorder="1"/>
    <xf numFmtId="0" fontId="11" fillId="4" borderId="56" xfId="0" applyFont="1" applyFill="1" applyBorder="1" applyAlignment="1">
      <alignment horizontal="center"/>
    </xf>
    <xf numFmtId="0" fontId="11" fillId="4" borderId="102" xfId="4" applyFont="1" applyFill="1" applyBorder="1" applyAlignment="1" applyProtection="1">
      <alignment horizontal="center"/>
    </xf>
    <xf numFmtId="0" fontId="4" fillId="0" borderId="19" xfId="4" applyBorder="1" applyProtection="1"/>
    <xf numFmtId="0" fontId="7" fillId="12" borderId="55" xfId="4" applyFont="1" applyFill="1" applyBorder="1" applyAlignment="1" applyProtection="1">
      <alignment horizontal="center" vertical="center"/>
    </xf>
    <xf numFmtId="0" fontId="7" fillId="12" borderId="56" xfId="4" applyFont="1" applyFill="1" applyBorder="1" applyAlignment="1" applyProtection="1">
      <alignment horizontal="center" vertical="center"/>
    </xf>
    <xf numFmtId="0" fontId="7" fillId="12" borderId="66" xfId="4" applyFont="1" applyFill="1" applyBorder="1" applyAlignment="1" applyProtection="1">
      <alignment horizontal="center" vertical="center"/>
    </xf>
    <xf numFmtId="0" fontId="6" fillId="12" borderId="86" xfId="4" applyFont="1" applyFill="1" applyBorder="1" applyAlignment="1" applyProtection="1">
      <alignment horizontal="center"/>
    </xf>
    <xf numFmtId="0" fontId="6" fillId="12" borderId="87" xfId="4" applyFont="1" applyFill="1" applyBorder="1" applyAlignment="1" applyProtection="1">
      <alignment horizontal="center"/>
    </xf>
    <xf numFmtId="0" fontId="6" fillId="12" borderId="88" xfId="4" applyFont="1" applyFill="1" applyBorder="1" applyAlignment="1" applyProtection="1">
      <alignment horizontal="center"/>
    </xf>
    <xf numFmtId="0" fontId="6" fillId="12" borderId="83" xfId="4" applyFont="1" applyFill="1" applyBorder="1" applyAlignment="1" applyProtection="1">
      <alignment horizontal="center"/>
    </xf>
    <xf numFmtId="0" fontId="6" fillId="12" borderId="84" xfId="4" applyFont="1" applyFill="1" applyBorder="1" applyAlignment="1" applyProtection="1">
      <alignment horizontal="center"/>
    </xf>
    <xf numFmtId="0" fontId="6" fillId="12" borderId="85" xfId="4" applyFont="1" applyFill="1" applyBorder="1" applyAlignment="1" applyProtection="1">
      <alignment horizontal="center"/>
    </xf>
    <xf numFmtId="0" fontId="7" fillId="12" borderId="69" xfId="4" applyFont="1" applyFill="1" applyBorder="1" applyAlignment="1" applyProtection="1">
      <alignment horizontal="center" vertical="center"/>
    </xf>
    <xf numFmtId="0" fontId="7" fillId="12" borderId="80" xfId="4" applyFont="1" applyFill="1" applyBorder="1" applyAlignment="1" applyProtection="1">
      <alignment horizontal="center" vertical="center"/>
    </xf>
    <xf numFmtId="0" fontId="7" fillId="12" borderId="70" xfId="4" applyFont="1" applyFill="1" applyBorder="1" applyAlignment="1" applyProtection="1">
      <alignment horizontal="center" vertical="center"/>
    </xf>
    <xf numFmtId="0" fontId="0" fillId="0" borderId="56" xfId="0" applyBorder="1"/>
    <xf numFmtId="0" fontId="0" fillId="0" borderId="73" xfId="0" applyBorder="1"/>
    <xf numFmtId="1" fontId="13" fillId="2" borderId="1" xfId="0" applyNumberFormat="1" applyFont="1" applyFill="1" applyBorder="1" applyAlignment="1">
      <alignment horizontal="center" vertical="center"/>
    </xf>
    <xf numFmtId="1" fontId="13" fillId="2" borderId="3" xfId="0" applyNumberFormat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right" vertical="center" wrapText="1"/>
    </xf>
    <xf numFmtId="0" fontId="12" fillId="0" borderId="11" xfId="0" applyFont="1" applyBorder="1" applyAlignment="1">
      <alignment horizontal="right" vertical="center" wrapText="1"/>
    </xf>
    <xf numFmtId="0" fontId="12" fillId="0" borderId="16" xfId="0" applyFont="1" applyBorder="1" applyAlignment="1"/>
    <xf numFmtId="0" fontId="12" fillId="0" borderId="17" xfId="0" applyFont="1" applyBorder="1" applyAlignment="1"/>
    <xf numFmtId="0" fontId="12" fillId="0" borderId="12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0" fillId="0" borderId="67" xfId="0" applyBorder="1"/>
    <xf numFmtId="0" fontId="0" fillId="0" borderId="68" xfId="0" applyBorder="1"/>
    <xf numFmtId="165" fontId="22" fillId="9" borderId="71" xfId="0" applyNumberFormat="1" applyFont="1" applyFill="1" applyBorder="1" applyAlignment="1">
      <alignment horizontal="center" vertical="center"/>
    </xf>
    <xf numFmtId="165" fontId="22" fillId="9" borderId="27" xfId="0" applyNumberFormat="1" applyFont="1" applyFill="1" applyBorder="1" applyAlignment="1">
      <alignment horizontal="center" vertical="center"/>
    </xf>
    <xf numFmtId="1" fontId="8" fillId="2" borderId="6" xfId="0" applyNumberFormat="1" applyFont="1" applyFill="1" applyBorder="1" applyAlignment="1">
      <alignment horizontal="center" vertical="center"/>
    </xf>
    <xf numFmtId="1" fontId="8" fillId="2" borderId="4" xfId="0" applyNumberFormat="1" applyFont="1" applyFill="1" applyBorder="1" applyAlignment="1">
      <alignment horizontal="center" vertical="center"/>
    </xf>
    <xf numFmtId="1" fontId="6" fillId="11" borderId="26" xfId="0" applyNumberFormat="1" applyFont="1" applyFill="1" applyBorder="1" applyAlignment="1">
      <alignment horizontal="center" vertical="center"/>
    </xf>
    <xf numFmtId="1" fontId="6" fillId="11" borderId="71" xfId="0" applyNumberFormat="1" applyFont="1" applyFill="1" applyBorder="1" applyAlignment="1">
      <alignment horizontal="center" vertical="center"/>
    </xf>
    <xf numFmtId="0" fontId="15" fillId="11" borderId="51" xfId="0" applyFont="1" applyFill="1" applyBorder="1" applyAlignment="1">
      <alignment horizontal="center" vertical="center"/>
    </xf>
    <xf numFmtId="0" fontId="15" fillId="11" borderId="68" xfId="0" applyFont="1" applyFill="1" applyBorder="1" applyAlignment="1">
      <alignment horizontal="center" vertical="center"/>
    </xf>
    <xf numFmtId="0" fontId="11" fillId="4" borderId="50" xfId="0" applyFont="1" applyFill="1" applyBorder="1" applyAlignment="1" applyProtection="1">
      <alignment horizontal="center"/>
    </xf>
    <xf numFmtId="0" fontId="11" fillId="4" borderId="8" xfId="0" applyFont="1" applyFill="1" applyBorder="1" applyAlignment="1" applyProtection="1">
      <alignment horizontal="center"/>
    </xf>
    <xf numFmtId="0" fontId="25" fillId="12" borderId="55" xfId="0" applyFont="1" applyFill="1" applyBorder="1" applyAlignment="1" applyProtection="1">
      <alignment horizontal="center"/>
    </xf>
    <xf numFmtId="0" fontId="25" fillId="12" borderId="66" xfId="0" applyFont="1" applyFill="1" applyBorder="1" applyAlignment="1" applyProtection="1">
      <alignment horizontal="center"/>
    </xf>
    <xf numFmtId="0" fontId="11" fillId="4" borderId="55" xfId="0" applyFont="1" applyFill="1" applyBorder="1" applyAlignment="1" applyProtection="1">
      <alignment horizontal="center"/>
    </xf>
    <xf numFmtId="0" fontId="11" fillId="4" borderId="56" xfId="0" applyFont="1" applyFill="1" applyBorder="1" applyAlignment="1" applyProtection="1">
      <alignment horizontal="center"/>
    </xf>
    <xf numFmtId="0" fontId="0" fillId="0" borderId="81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6" fillId="12" borderId="83" xfId="0" applyFont="1" applyFill="1" applyBorder="1" applyAlignment="1">
      <alignment horizontal="center"/>
    </xf>
    <xf numFmtId="0" fontId="6" fillId="12" borderId="84" xfId="0" applyFont="1" applyFill="1" applyBorder="1" applyAlignment="1">
      <alignment horizontal="center"/>
    </xf>
    <xf numFmtId="0" fontId="6" fillId="12" borderId="85" xfId="0" applyFont="1" applyFill="1" applyBorder="1" applyAlignment="1">
      <alignment horizontal="center"/>
    </xf>
    <xf numFmtId="0" fontId="61" fillId="42" borderId="83" xfId="4" applyFont="1" applyFill="1" applyBorder="1" applyAlignment="1">
      <alignment horizontal="center"/>
    </xf>
    <xf numFmtId="0" fontId="61" fillId="42" borderId="84" xfId="4" applyFont="1" applyFill="1" applyBorder="1" applyAlignment="1">
      <alignment horizontal="center"/>
    </xf>
    <xf numFmtId="0" fontId="61" fillId="42" borderId="136" xfId="4" applyFont="1" applyFill="1" applyBorder="1" applyAlignment="1">
      <alignment horizontal="center"/>
    </xf>
    <xf numFmtId="1" fontId="50" fillId="44" borderId="86" xfId="4" applyNumberFormat="1" applyFont="1" applyFill="1" applyBorder="1" applyAlignment="1" applyProtection="1">
      <alignment horizontal="center" vertical="center" wrapText="1"/>
    </xf>
    <xf numFmtId="1" fontId="50" fillId="44" borderId="87" xfId="4" applyNumberFormat="1" applyFont="1" applyFill="1" applyBorder="1" applyAlignment="1" applyProtection="1">
      <alignment horizontal="center" vertical="center" wrapText="1"/>
    </xf>
    <xf numFmtId="1" fontId="50" fillId="44" borderId="88" xfId="4" applyNumberFormat="1" applyFont="1" applyFill="1" applyBorder="1" applyAlignment="1" applyProtection="1">
      <alignment horizontal="center" vertical="center" wrapText="1"/>
    </xf>
    <xf numFmtId="0" fontId="25" fillId="12" borderId="129" xfId="4" applyFont="1" applyFill="1" applyBorder="1" applyAlignment="1" applyProtection="1">
      <alignment horizontal="center"/>
    </xf>
    <xf numFmtId="0" fontId="25" fillId="12" borderId="52" xfId="4" applyFont="1" applyFill="1" applyBorder="1" applyAlignment="1" applyProtection="1">
      <alignment horizontal="center"/>
    </xf>
    <xf numFmtId="0" fontId="25" fillId="12" borderId="130" xfId="4" applyFont="1" applyFill="1" applyBorder="1" applyAlignment="1" applyProtection="1">
      <alignment horizontal="center"/>
    </xf>
    <xf numFmtId="0" fontId="54" fillId="0" borderId="93" xfId="70" applyFont="1" applyFill="1" applyBorder="1" applyAlignment="1" applyProtection="1">
      <alignment horizontal="center" vertical="center" wrapText="1"/>
    </xf>
    <xf numFmtId="0" fontId="53" fillId="0" borderId="93" xfId="70" applyFont="1" applyFill="1" applyBorder="1" applyAlignment="1" applyProtection="1">
      <alignment horizontal="center" vertical="center" wrapText="1"/>
    </xf>
    <xf numFmtId="0" fontId="25" fillId="0" borderId="131" xfId="4" applyFont="1" applyBorder="1" applyAlignment="1" applyProtection="1">
      <alignment horizontal="center" vertical="center" wrapText="1"/>
    </xf>
    <xf numFmtId="0" fontId="58" fillId="0" borderId="133" xfId="4" applyFont="1" applyBorder="1" applyAlignment="1" applyProtection="1">
      <alignment horizontal="center" vertical="center" wrapText="1"/>
    </xf>
    <xf numFmtId="0" fontId="52" fillId="42" borderId="134" xfId="4" applyFont="1" applyFill="1" applyBorder="1" applyAlignment="1" applyProtection="1">
      <alignment horizontal="center"/>
    </xf>
    <xf numFmtId="0" fontId="52" fillId="42" borderId="135" xfId="4" applyFont="1" applyFill="1" applyBorder="1" applyAlignment="1" applyProtection="1">
      <alignment horizontal="center"/>
    </xf>
    <xf numFmtId="0" fontId="61" fillId="42" borderId="90" xfId="4" applyFont="1" applyFill="1" applyBorder="1" applyAlignment="1" applyProtection="1">
      <alignment horizontal="center"/>
    </xf>
    <xf numFmtId="0" fontId="61" fillId="42" borderId="91" xfId="4" applyFont="1" applyFill="1" applyBorder="1" applyAlignment="1" applyProtection="1">
      <alignment horizontal="center"/>
    </xf>
    <xf numFmtId="1" fontId="51" fillId="41" borderId="14" xfId="4" applyNumberFormat="1" applyFont="1" applyFill="1" applyBorder="1" applyAlignment="1" applyProtection="1">
      <alignment horizontal="center" vertical="center" wrapText="1"/>
    </xf>
    <xf numFmtId="0" fontId="51" fillId="41" borderId="14" xfId="4" applyNumberFormat="1" applyFont="1" applyFill="1" applyBorder="1" applyAlignment="1" applyProtection="1">
      <alignment horizontal="center" vertical="center" wrapText="1"/>
    </xf>
    <xf numFmtId="0" fontId="52" fillId="42" borderId="86" xfId="55" applyFont="1" applyFill="1" applyBorder="1" applyAlignment="1">
      <alignment horizontal="center" vertical="center" wrapText="1"/>
    </xf>
    <xf numFmtId="0" fontId="52" fillId="42" borderId="87" xfId="55" applyFont="1" applyFill="1" applyBorder="1" applyAlignment="1">
      <alignment horizontal="center" vertical="center" wrapText="1"/>
    </xf>
    <xf numFmtId="0" fontId="52" fillId="42" borderId="88" xfId="55" applyFont="1" applyFill="1" applyBorder="1" applyAlignment="1">
      <alignment horizontal="center" vertical="center" wrapText="1"/>
    </xf>
    <xf numFmtId="0" fontId="50" fillId="39" borderId="100" xfId="55" applyFont="1" applyFill="1" applyBorder="1" applyAlignment="1" applyProtection="1">
      <alignment horizontal="center" vertical="center" wrapText="1"/>
    </xf>
    <xf numFmtId="0" fontId="50" fillId="39" borderId="98" xfId="55" applyFont="1" applyFill="1" applyBorder="1" applyAlignment="1" applyProtection="1">
      <alignment horizontal="center" vertical="center" wrapText="1"/>
    </xf>
    <xf numFmtId="0" fontId="50" fillId="39" borderId="21" xfId="70" applyFont="1" applyFill="1" applyBorder="1" applyAlignment="1" applyProtection="1">
      <alignment horizontal="center" vertical="center" wrapText="1"/>
    </xf>
    <xf numFmtId="0" fontId="50" fillId="39" borderId="5" xfId="70" applyFont="1" applyFill="1" applyBorder="1" applyAlignment="1" applyProtection="1">
      <alignment horizontal="center" vertical="center" wrapText="1"/>
    </xf>
    <xf numFmtId="0" fontId="50" fillId="39" borderId="21" xfId="55" applyFont="1" applyFill="1" applyBorder="1" applyAlignment="1" applyProtection="1">
      <alignment horizontal="center" vertical="center" wrapText="1"/>
    </xf>
    <xf numFmtId="0" fontId="50" fillId="39" borderId="5" xfId="55" applyFont="1" applyFill="1" applyBorder="1" applyAlignment="1" applyProtection="1">
      <alignment horizontal="center" vertical="center" wrapText="1"/>
    </xf>
    <xf numFmtId="0" fontId="50" fillId="47" borderId="21" xfId="55" applyFont="1" applyFill="1" applyBorder="1" applyAlignment="1" applyProtection="1">
      <alignment horizontal="center" vertical="center" wrapText="1"/>
    </xf>
    <xf numFmtId="0" fontId="50" fillId="47" borderId="5" xfId="55" applyFont="1" applyFill="1" applyBorder="1" applyAlignment="1" applyProtection="1">
      <alignment horizontal="center" vertical="center" wrapText="1"/>
    </xf>
    <xf numFmtId="0" fontId="50" fillId="47" borderId="116" xfId="55" applyFont="1" applyFill="1" applyBorder="1" applyAlignment="1" applyProtection="1">
      <alignment horizontal="center" vertical="center" wrapText="1"/>
    </xf>
    <xf numFmtId="0" fontId="50" fillId="47" borderId="77" xfId="55" applyFont="1" applyFill="1" applyBorder="1" applyAlignment="1" applyProtection="1">
      <alignment horizontal="center" vertical="center" wrapText="1"/>
    </xf>
    <xf numFmtId="0" fontId="50" fillId="39" borderId="101" xfId="55" applyFont="1" applyFill="1" applyBorder="1" applyAlignment="1" applyProtection="1">
      <alignment horizontal="center" vertical="center" wrapText="1"/>
    </xf>
    <xf numFmtId="0" fontId="50" fillId="39" borderId="99" xfId="55" applyFont="1" applyFill="1" applyBorder="1" applyAlignment="1" applyProtection="1">
      <alignment horizontal="center" vertical="center" wrapText="1"/>
    </xf>
    <xf numFmtId="1" fontId="50" fillId="44" borderId="112" xfId="4" applyNumberFormat="1" applyFont="1" applyFill="1" applyBorder="1" applyAlignment="1" applyProtection="1">
      <alignment horizontal="center" vertical="center"/>
    </xf>
    <xf numFmtId="1" fontId="50" fillId="44" borderId="113" xfId="4" applyNumberFormat="1" applyFont="1" applyFill="1" applyBorder="1" applyAlignment="1" applyProtection="1">
      <alignment horizontal="center" vertical="center"/>
    </xf>
    <xf numFmtId="0" fontId="52" fillId="42" borderId="83" xfId="53" applyFont="1" applyFill="1" applyBorder="1" applyAlignment="1">
      <alignment horizontal="center" vertical="center" wrapText="1"/>
    </xf>
    <xf numFmtId="0" fontId="52" fillId="42" borderId="84" xfId="53" applyFont="1" applyFill="1" applyBorder="1" applyAlignment="1">
      <alignment horizontal="center" vertical="center" wrapText="1"/>
    </xf>
    <xf numFmtId="0" fontId="52" fillId="42" borderId="85" xfId="53" applyFont="1" applyFill="1" applyBorder="1" applyAlignment="1">
      <alignment horizontal="center" vertical="center" wrapText="1"/>
    </xf>
    <xf numFmtId="0" fontId="21" fillId="4" borderId="55" xfId="0" applyFont="1" applyFill="1" applyBorder="1" applyAlignment="1">
      <alignment horizontal="center"/>
    </xf>
    <xf numFmtId="0" fontId="21" fillId="4" borderId="56" xfId="0" applyFont="1" applyFill="1" applyBorder="1" applyAlignment="1">
      <alignment horizontal="center"/>
    </xf>
    <xf numFmtId="0" fontId="21" fillId="4" borderId="73" xfId="0" applyFont="1" applyFill="1" applyBorder="1" applyAlignment="1">
      <alignment horizontal="center"/>
    </xf>
    <xf numFmtId="0" fontId="18" fillId="12" borderId="55" xfId="0" applyFont="1" applyFill="1" applyBorder="1" applyAlignment="1">
      <alignment horizontal="center"/>
    </xf>
    <xf numFmtId="0" fontId="17" fillId="0" borderId="56" xfId="0" applyFont="1" applyBorder="1"/>
    <xf numFmtId="0" fontId="17" fillId="0" borderId="66" xfId="0" applyFont="1" applyBorder="1"/>
    <xf numFmtId="1" fontId="23" fillId="2" borderId="38" xfId="0" applyNumberFormat="1" applyFont="1" applyFill="1" applyBorder="1" applyAlignment="1" applyProtection="1">
      <alignment horizontal="center" vertical="center"/>
    </xf>
    <xf numFmtId="1" fontId="23" fillId="2" borderId="67" xfId="0" applyNumberFormat="1" applyFont="1" applyFill="1" applyBorder="1" applyAlignment="1" applyProtection="1">
      <alignment horizontal="center" vertical="center"/>
    </xf>
  </cellXfs>
  <cellStyles count="76">
    <cellStyle name="20% - Accent1" xfId="8"/>
    <cellStyle name="20% - Accent2" xfId="9"/>
    <cellStyle name="20% - Accent3" xfId="10"/>
    <cellStyle name="20% - Accent4" xfId="11"/>
    <cellStyle name="20% - Accent5" xfId="12"/>
    <cellStyle name="20% - Accent6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60% - Accent1" xfId="20"/>
    <cellStyle name="60% - Accent2" xfId="21"/>
    <cellStyle name="60% - Accent3" xfId="22"/>
    <cellStyle name="60% - Accent4" xfId="23"/>
    <cellStyle name="60% - Accent5" xfId="24"/>
    <cellStyle name="60% - Accent6" xfId="25"/>
    <cellStyle name="Accent1" xfId="26"/>
    <cellStyle name="Accent2" xfId="27"/>
    <cellStyle name="Accent3" xfId="28"/>
    <cellStyle name="Accent4" xfId="29"/>
    <cellStyle name="Accent5" xfId="30"/>
    <cellStyle name="Accent6" xfId="31"/>
    <cellStyle name="Bad" xfId="32"/>
    <cellStyle name="Calculation" xfId="33"/>
    <cellStyle name="Check Cell" xfId="34"/>
    <cellStyle name="Comma" xfId="68" builtinId="3"/>
    <cellStyle name="Comma 2" xfId="35"/>
    <cellStyle name="Comma 2 2" xfId="36"/>
    <cellStyle name="Comma 2 3" xfId="72"/>
    <cellStyle name="Comma 3" xfId="6"/>
    <cellStyle name="Explanatory Text" xfId="37"/>
    <cellStyle name="Good" xfId="38"/>
    <cellStyle name="Heading 1" xfId="39"/>
    <cellStyle name="Heading 2" xfId="40"/>
    <cellStyle name="Heading 3" xfId="41"/>
    <cellStyle name="Heading 4" xfId="42"/>
    <cellStyle name="Input" xfId="43"/>
    <cellStyle name="Linked Cell" xfId="44"/>
    <cellStyle name="Neutral" xfId="45"/>
    <cellStyle name="Normal" xfId="0" builtinId="0"/>
    <cellStyle name="Normal 2" xfId="1"/>
    <cellStyle name="Normal 2 2" xfId="4"/>
    <cellStyle name="Normal 3" xfId="7"/>
    <cellStyle name="Normal 3 2" xfId="46"/>
    <cellStyle name="Normal 3 2 2" xfId="47"/>
    <cellStyle name="Normal 3 3" xfId="73"/>
    <cellStyle name="Normal 4" xfId="48"/>
    <cellStyle name="Normal 4 2" xfId="49"/>
    <cellStyle name="Normal 4 3" xfId="50"/>
    <cellStyle name="Normal 5" xfId="51"/>
    <cellStyle name="Normal 5 2" xfId="52"/>
    <cellStyle name="Normal 5 2 2" xfId="70"/>
    <cellStyle name="Normal 5 3" xfId="53"/>
    <cellStyle name="Normal 5 4" xfId="54"/>
    <cellStyle name="Normal 5 4 2" xfId="71"/>
    <cellStyle name="Normal 5 5" xfId="55"/>
    <cellStyle name="Normal 5 6" xfId="74"/>
    <cellStyle name="Normal 6" xfId="56"/>
    <cellStyle name="Normal 9" xfId="57"/>
    <cellStyle name="Note" xfId="58"/>
    <cellStyle name="Output" xfId="59"/>
    <cellStyle name="Percent" xfId="2" builtinId="5"/>
    <cellStyle name="Percent 2" xfId="3"/>
    <cellStyle name="Percent 2 2" xfId="5"/>
    <cellStyle name="Percent 2 3" xfId="60"/>
    <cellStyle name="Percent 3" xfId="61"/>
    <cellStyle name="Percent 3 2" xfId="62"/>
    <cellStyle name="Percent 4" xfId="63"/>
    <cellStyle name="Percent 4 2" xfId="64"/>
    <cellStyle name="Percent 4 3" xfId="75"/>
    <cellStyle name="Percent 5" xfId="69"/>
    <cellStyle name="Title" xfId="65"/>
    <cellStyle name="Total" xfId="66"/>
    <cellStyle name="Warning Text" xfId="67"/>
  </cellStyles>
  <dxfs count="119"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7"/>
        </patternFill>
      </fill>
    </dxf>
    <dxf>
      <font>
        <condense val="0"/>
        <extend val="0"/>
        <color indexed="10"/>
      </font>
    </dxf>
    <dxf>
      <fill>
        <patternFill>
          <bgColor indexed="47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7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00B05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00B05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00B05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00B05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00B05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00B050"/>
      </font>
    </dxf>
    <dxf>
      <font>
        <color rgb="FF00B05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indexed="10"/>
  </sheetPr>
  <dimension ref="B1:B2"/>
  <sheetViews>
    <sheetView workbookViewId="0"/>
  </sheetViews>
  <sheetFormatPr defaultRowHeight="12.75"/>
  <cols>
    <col min="2" max="2" width="13.42578125" bestFit="1" customWidth="1"/>
  </cols>
  <sheetData>
    <row r="1" spans="2:2">
      <c r="B1">
        <v>0.1605646014213562</v>
      </c>
    </row>
    <row r="2" spans="2:2">
      <c r="B2" s="542">
        <v>42969.678993055553</v>
      </c>
    </row>
  </sheetData>
  <sheetProtection password="CC01" sheet="1" objects="1" scenarios="1" formatColumns="0" forma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46"/>
    <pageSetUpPr fitToPage="1"/>
  </sheetPr>
  <dimension ref="A1:K40"/>
  <sheetViews>
    <sheetView rightToLeft="1" view="pageBreakPreview" zoomScale="73" workbookViewId="0">
      <selection activeCell="C9" sqref="C9"/>
    </sheetView>
  </sheetViews>
  <sheetFormatPr defaultRowHeight="12.75"/>
  <cols>
    <col min="1" max="1" width="10" bestFit="1" customWidth="1"/>
    <col min="2" max="2" width="26.5703125" customWidth="1"/>
    <col min="3" max="3" width="15" customWidth="1"/>
    <col min="4" max="4" width="16.140625" hidden="1" customWidth="1"/>
    <col min="5" max="5" width="19.7109375" hidden="1" customWidth="1"/>
    <col min="6" max="6" width="16.140625" bestFit="1" customWidth="1"/>
    <col min="7" max="7" width="13.42578125" customWidth="1"/>
    <col min="8" max="8" width="12.28515625" customWidth="1"/>
    <col min="10" max="10" width="8.7109375" hidden="1" customWidth="1"/>
    <col min="11" max="11" width="6.85546875" hidden="1" customWidth="1"/>
  </cols>
  <sheetData>
    <row r="1" spans="1:11" ht="17.25" thickTop="1" thickBot="1">
      <c r="B1" s="620" t="str">
        <f>פרמטרים!B1</f>
        <v>שנת התקציב</v>
      </c>
      <c r="C1" s="621"/>
      <c r="F1" s="152">
        <f>פרמטרים!D1</f>
        <v>2018</v>
      </c>
    </row>
    <row r="2" spans="1:11" ht="16.5" thickBot="1">
      <c r="B2" s="622" t="str">
        <f>פרמטרים!B2</f>
        <v>תקציב</v>
      </c>
      <c r="C2" s="623"/>
      <c r="F2" s="140">
        <f>פרמטרים!D2</f>
        <v>98822015</v>
      </c>
    </row>
    <row r="3" spans="1:11" ht="17.25" thickTop="1" thickBot="1">
      <c r="A3" s="615" t="s">
        <v>83</v>
      </c>
      <c r="B3" s="616"/>
      <c r="C3" s="616"/>
      <c r="D3" s="616"/>
      <c r="E3" s="616"/>
      <c r="F3" s="616"/>
      <c r="G3" s="616"/>
      <c r="H3" s="617"/>
    </row>
    <row r="4" spans="1:11" ht="33.75" customHeight="1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208</v>
      </c>
      <c r="D4" s="628"/>
      <c r="E4" s="629"/>
      <c r="F4" s="626" t="s">
        <v>150</v>
      </c>
      <c r="G4" s="626" t="s">
        <v>19</v>
      </c>
      <c r="H4" s="630" t="s">
        <v>154</v>
      </c>
    </row>
    <row r="5" spans="1:11" ht="13.5" thickBot="1">
      <c r="A5" s="625"/>
      <c r="B5" s="614"/>
      <c r="C5" s="269" t="str">
        <f>סיווג!J13</f>
        <v xml:space="preserve"> שנת 2017</v>
      </c>
      <c r="D5" s="269" t="e">
        <f>סיווג!I13</f>
        <v>#VALUE!</v>
      </c>
      <c r="E5" s="269" t="str">
        <f>סיווג!J13</f>
        <v xml:space="preserve"> שנת 2017</v>
      </c>
      <c r="F5" s="614"/>
      <c r="G5" s="614"/>
      <c r="H5" s="631"/>
    </row>
    <row r="6" spans="1:11">
      <c r="A6" s="78">
        <f>סיווג!A14</f>
        <v>1</v>
      </c>
      <c r="B6" s="79" t="str">
        <f>IF(סיווג!B14=0,"",סיווג!B14)</f>
        <v>הבימה</v>
      </c>
      <c r="C6" s="69">
        <v>3</v>
      </c>
      <c r="D6" s="69"/>
      <c r="E6" s="272">
        <f t="shared" ref="E6:E38" si="0">IF($B6="","",MAX(C6:D6))</f>
        <v>3</v>
      </c>
      <c r="F6" s="87">
        <f>IF(B6="","",סיווג!X14)</f>
        <v>1</v>
      </c>
      <c r="G6" s="90">
        <f>IF(ISERR(1*F6),"",F6*C6)</f>
        <v>3</v>
      </c>
      <c r="H6" s="91">
        <f t="shared" ref="H6:H38" si="1">IF(ISERR(G6/$G$39),"",G6/$G$39)</f>
        <v>9.4488188976377965E-2</v>
      </c>
      <c r="J6">
        <f t="shared" ref="J6:J38" si="2">IF(K6="OK",C6,"בדוק ניקוד")</f>
        <v>3</v>
      </c>
      <c r="K6" t="str">
        <f>IF(B6="","",IF(ISNA(MATCH(C6,{0,1,2,3,4},0)),"BAD","OK"))</f>
        <v>OK</v>
      </c>
    </row>
    <row r="7" spans="1:11">
      <c r="A7" s="80">
        <f>סיווג!A15</f>
        <v>2</v>
      </c>
      <c r="B7" s="81" t="str">
        <f>IF(סיווג!B15=0,"",סיווג!B15)</f>
        <v>הקאמרי</v>
      </c>
      <c r="C7" s="69">
        <v>3</v>
      </c>
      <c r="D7" s="69"/>
      <c r="E7" s="272">
        <f t="shared" si="0"/>
        <v>3</v>
      </c>
      <c r="F7" s="88">
        <f>IF(B7="","",סיווג!X15)</f>
        <v>1</v>
      </c>
      <c r="G7" s="90">
        <f t="shared" ref="G7:G38" si="3">IF(ISERR(1*F7),"",F7*C7)</f>
        <v>3</v>
      </c>
      <c r="H7" s="91">
        <f t="shared" si="1"/>
        <v>9.4488188976377965E-2</v>
      </c>
      <c r="J7">
        <f t="shared" si="2"/>
        <v>3</v>
      </c>
      <c r="K7" t="str">
        <f>IF(B7="","",IF(ISNA(MATCH(C7,{0,1,2,3,4},0)),"BAD","OK"))</f>
        <v>OK</v>
      </c>
    </row>
    <row r="8" spans="1:11">
      <c r="A8" s="80">
        <f>סיווג!A16</f>
        <v>3</v>
      </c>
      <c r="B8" s="81" t="str">
        <f>IF(סיווג!B16=0,"",סיווג!B16)</f>
        <v>בית לסין</v>
      </c>
      <c r="C8" s="69">
        <v>3</v>
      </c>
      <c r="D8" s="69"/>
      <c r="E8" s="272">
        <f t="shared" si="0"/>
        <v>3</v>
      </c>
      <c r="F8" s="88">
        <f>IF(B8="","",סיווג!X16)</f>
        <v>1</v>
      </c>
      <c r="G8" s="90">
        <f t="shared" si="3"/>
        <v>3</v>
      </c>
      <c r="H8" s="91">
        <f t="shared" si="1"/>
        <v>9.4488188976377965E-2</v>
      </c>
      <c r="J8">
        <f t="shared" si="2"/>
        <v>3</v>
      </c>
      <c r="K8" t="str">
        <f>IF(B8="","",IF(ISNA(MATCH(C8,{0,1,2,3,4},0)),"BAD","OK"))</f>
        <v>OK</v>
      </c>
    </row>
    <row r="9" spans="1:11">
      <c r="A9" s="80">
        <f>סיווג!A17</f>
        <v>4</v>
      </c>
      <c r="B9" s="81" t="str">
        <f>IF(סיווג!B17=0,"",סיווג!B17)</f>
        <v>חיפה</v>
      </c>
      <c r="C9" s="69">
        <v>2</v>
      </c>
      <c r="D9" s="69"/>
      <c r="E9" s="272">
        <f t="shared" si="0"/>
        <v>2</v>
      </c>
      <c r="F9" s="88">
        <f>IF(B9="","",סיווג!X17)</f>
        <v>0.8</v>
      </c>
      <c r="G9" s="90">
        <f t="shared" si="3"/>
        <v>1.6</v>
      </c>
      <c r="H9" s="91">
        <f t="shared" si="1"/>
        <v>5.0393700787401581E-2</v>
      </c>
      <c r="J9">
        <f t="shared" si="2"/>
        <v>2</v>
      </c>
      <c r="K9" t="str">
        <f>IF(B9="","",IF(ISNA(MATCH(C9,{0,1,2,3,4},0)),"BAD","OK"))</f>
        <v>OK</v>
      </c>
    </row>
    <row r="10" spans="1:11">
      <c r="A10" s="80">
        <f>סיווג!A18</f>
        <v>5</v>
      </c>
      <c r="B10" s="81" t="str">
        <f>IF(סיווג!B18=0,"",סיווג!B18)</f>
        <v>באר שבע</v>
      </c>
      <c r="C10" s="69">
        <v>2</v>
      </c>
      <c r="D10" s="69"/>
      <c r="E10" s="272">
        <f t="shared" si="0"/>
        <v>2</v>
      </c>
      <c r="F10" s="88">
        <f>IF(B10="","",סיווג!X18)</f>
        <v>0.8</v>
      </c>
      <c r="G10" s="90">
        <f t="shared" si="3"/>
        <v>1.6</v>
      </c>
      <c r="H10" s="91">
        <f t="shared" si="1"/>
        <v>5.0393700787401581E-2</v>
      </c>
      <c r="J10">
        <f t="shared" si="2"/>
        <v>2</v>
      </c>
      <c r="K10" t="str">
        <f>IF(B10="","",IF(ISNA(MATCH(C10,{0,1,2,3,4},0)),"BAD","OK"))</f>
        <v>OK</v>
      </c>
    </row>
    <row r="11" spans="1:11">
      <c r="A11" s="80">
        <f>סיווג!A19</f>
        <v>6</v>
      </c>
      <c r="B11" s="81" t="str">
        <f>IF(סיווג!B19=0,"",סיווג!B19)</f>
        <v>גשר</v>
      </c>
      <c r="C11" s="69">
        <v>3</v>
      </c>
      <c r="D11" s="69"/>
      <c r="E11" s="272">
        <f t="shared" si="0"/>
        <v>3</v>
      </c>
      <c r="F11" s="88">
        <f>IF(B11="","",סיווג!X19)</f>
        <v>0.8</v>
      </c>
      <c r="G11" s="90">
        <f t="shared" si="3"/>
        <v>2.4000000000000004</v>
      </c>
      <c r="H11" s="91">
        <f t="shared" si="1"/>
        <v>7.5590551181102375E-2</v>
      </c>
      <c r="J11">
        <f t="shared" si="2"/>
        <v>3</v>
      </c>
      <c r="K11" t="str">
        <f>IF(B11="","",IF(ISNA(MATCH(C11,{0,1,2,3,4},0)),"BAD","OK"))</f>
        <v>OK</v>
      </c>
    </row>
    <row r="12" spans="1:11">
      <c r="A12" s="80">
        <f>סיווג!A20</f>
        <v>7</v>
      </c>
      <c r="B12" s="81" t="str">
        <f>IF(סיווג!B20=0,"",סיווג!B20)</f>
        <v>החאן</v>
      </c>
      <c r="C12" s="69">
        <v>3</v>
      </c>
      <c r="D12" s="69"/>
      <c r="E12" s="272">
        <f t="shared" si="0"/>
        <v>3</v>
      </c>
      <c r="F12" s="88">
        <f>IF(B12="","",סיווג!X20)</f>
        <v>0.8</v>
      </c>
      <c r="G12" s="90">
        <f t="shared" si="3"/>
        <v>2.4000000000000004</v>
      </c>
      <c r="H12" s="91">
        <f t="shared" si="1"/>
        <v>7.5590551181102375E-2</v>
      </c>
      <c r="J12">
        <f t="shared" si="2"/>
        <v>3</v>
      </c>
      <c r="K12" t="str">
        <f>IF(B12="","",IF(ISNA(MATCH(C12,{0,1,2,3,4},0)),"BAD","OK"))</f>
        <v>OK</v>
      </c>
    </row>
    <row r="13" spans="1:11">
      <c r="A13" s="80">
        <f>סיווג!A21</f>
        <v>8</v>
      </c>
      <c r="B13" s="81" t="str">
        <f>IF(סיווג!B21=0,"",סיווג!B21)</f>
        <v>היידישפיל</v>
      </c>
      <c r="C13" s="69">
        <v>2</v>
      </c>
      <c r="D13" s="69"/>
      <c r="E13" s="272">
        <f t="shared" si="0"/>
        <v>2</v>
      </c>
      <c r="F13" s="88">
        <f>IF(B13="","",סיווג!X21)</f>
        <v>0.8</v>
      </c>
      <c r="G13" s="90">
        <f t="shared" si="3"/>
        <v>1.6</v>
      </c>
      <c r="H13" s="91">
        <f t="shared" si="1"/>
        <v>5.0393700787401581E-2</v>
      </c>
      <c r="J13">
        <f t="shared" si="2"/>
        <v>2</v>
      </c>
      <c r="K13" t="str">
        <f>IF(B13="","",IF(ISNA(MATCH(C13,{0,1,2,3,4},0)),"BAD","OK"))</f>
        <v>OK</v>
      </c>
    </row>
    <row r="14" spans="1:11">
      <c r="A14" s="80">
        <f>סיווג!A22</f>
        <v>9</v>
      </c>
      <c r="B14" s="81" t="str">
        <f>IF(סיווג!B22=0,"",סיווג!B22)</f>
        <v>תיאטרון אלמידאן</v>
      </c>
      <c r="C14" s="69">
        <v>0</v>
      </c>
      <c r="D14" s="69"/>
      <c r="E14" s="272">
        <f t="shared" si="0"/>
        <v>0</v>
      </c>
      <c r="F14" s="88">
        <f>IF(B14="","",סיווג!X22)</f>
        <v>0</v>
      </c>
      <c r="G14" s="90">
        <f t="shared" si="3"/>
        <v>0</v>
      </c>
      <c r="H14" s="91">
        <f t="shared" si="1"/>
        <v>0</v>
      </c>
      <c r="J14">
        <f t="shared" si="2"/>
        <v>0</v>
      </c>
      <c r="K14" t="str">
        <f>IF(B14="","",IF(ISNA(MATCH(C14,{0,1,2,3,4},0)),"BAD","OK"))</f>
        <v>OK</v>
      </c>
    </row>
    <row r="15" spans="1:11">
      <c r="A15" s="80">
        <f>סיווג!A23</f>
        <v>10</v>
      </c>
      <c r="B15" s="81" t="str">
        <f>IF(סיווג!B23=0,"",סיווג!B23)</f>
        <v>הזירה הבין תחומית</v>
      </c>
      <c r="C15" s="69">
        <v>0</v>
      </c>
      <c r="D15" s="69"/>
      <c r="E15" s="272">
        <f t="shared" si="0"/>
        <v>0</v>
      </c>
      <c r="F15" s="88">
        <f>IF(B15="","",סיווג!X23)</f>
        <v>0.25</v>
      </c>
      <c r="G15" s="90">
        <f t="shared" si="3"/>
        <v>0</v>
      </c>
      <c r="H15" s="91">
        <f t="shared" si="1"/>
        <v>0</v>
      </c>
      <c r="J15">
        <f t="shared" si="2"/>
        <v>0</v>
      </c>
      <c r="K15" t="str">
        <f>IF(B15="","",IF(ISNA(MATCH(C15,{0,1,2,3,4},0)),"BAD","OK"))</f>
        <v>OK</v>
      </c>
    </row>
    <row r="16" spans="1:11">
      <c r="A16" s="80">
        <f>סיווג!A24</f>
        <v>11</v>
      </c>
      <c r="B16" s="81" t="str">
        <f>IF(סיווג!B24=0,"",סיווג!B24)</f>
        <v>אספקלריא</v>
      </c>
      <c r="C16" s="69">
        <v>2</v>
      </c>
      <c r="D16" s="69"/>
      <c r="E16" s="272">
        <f t="shared" si="0"/>
        <v>2</v>
      </c>
      <c r="F16" s="88">
        <f>IF(B16="","",סיווג!X24)</f>
        <v>0.25</v>
      </c>
      <c r="G16" s="90">
        <f t="shared" si="3"/>
        <v>0.5</v>
      </c>
      <c r="H16" s="91">
        <f t="shared" si="1"/>
        <v>1.5748031496062995E-2</v>
      </c>
      <c r="J16">
        <f t="shared" si="2"/>
        <v>2</v>
      </c>
      <c r="K16" t="str">
        <f>IF(B16="","",IF(ISNA(MATCH(C16,{0,1,2,3,4},0)),"BAD","OK"))</f>
        <v>OK</v>
      </c>
    </row>
    <row r="17" spans="1:11">
      <c r="A17" s="80">
        <f>סיווג!A25</f>
        <v>12</v>
      </c>
      <c r="B17" s="81" t="str">
        <f>IF(סיווג!B25=0,"",סיווג!B25)</f>
        <v/>
      </c>
      <c r="C17" s="69"/>
      <c r="D17" s="69"/>
      <c r="E17" s="272" t="str">
        <f t="shared" si="0"/>
        <v/>
      </c>
      <c r="F17" s="88" t="str">
        <f>IF(B17="","",סיווג!X25)</f>
        <v/>
      </c>
      <c r="G17" s="90" t="str">
        <f t="shared" si="3"/>
        <v/>
      </c>
      <c r="H17" s="91" t="str">
        <f t="shared" si="1"/>
        <v/>
      </c>
      <c r="J17" t="str">
        <f t="shared" si="2"/>
        <v>בדוק ניקוד</v>
      </c>
      <c r="K17" t="str">
        <f>IF(B17="","",IF(ISNA(MATCH(C17,{0,1,2,3,4},0)),"BAD","OK"))</f>
        <v/>
      </c>
    </row>
    <row r="18" spans="1:11">
      <c r="A18" s="80">
        <f>סיווג!A26</f>
        <v>13</v>
      </c>
      <c r="B18" s="81" t="str">
        <f>IF(סיווג!B26=0,"",סיווג!B26)</f>
        <v>עכו</v>
      </c>
      <c r="C18" s="69">
        <v>3</v>
      </c>
      <c r="D18" s="69"/>
      <c r="E18" s="272">
        <f t="shared" si="0"/>
        <v>3</v>
      </c>
      <c r="F18" s="88">
        <f>IF(B18="","",סיווג!X26)</f>
        <v>0.25</v>
      </c>
      <c r="G18" s="90">
        <f t="shared" si="3"/>
        <v>0.75</v>
      </c>
      <c r="H18" s="91">
        <f t="shared" si="1"/>
        <v>2.3622047244094491E-2</v>
      </c>
      <c r="J18">
        <f t="shared" si="2"/>
        <v>3</v>
      </c>
      <c r="K18" t="str">
        <f>IF(B18="","",IF(ISNA(MATCH(C18,{0,1,2,3,4},0)),"BAD","OK"))</f>
        <v>OK</v>
      </c>
    </row>
    <row r="19" spans="1:11">
      <c r="A19" s="80">
        <f>סיווג!A27</f>
        <v>14</v>
      </c>
      <c r="B19" s="81" t="str">
        <f>IF(סיווג!B27=0,"",סיווג!B27)</f>
        <v>הספרייה</v>
      </c>
      <c r="C19" s="69">
        <v>3</v>
      </c>
      <c r="D19" s="69"/>
      <c r="E19" s="272">
        <f t="shared" si="0"/>
        <v>3</v>
      </c>
      <c r="F19" s="88">
        <f>IF(B19="","",סיווג!X27)</f>
        <v>0.25</v>
      </c>
      <c r="G19" s="90">
        <f t="shared" si="3"/>
        <v>0.75</v>
      </c>
      <c r="H19" s="91">
        <f t="shared" si="1"/>
        <v>2.3622047244094491E-2</v>
      </c>
      <c r="J19">
        <f t="shared" si="2"/>
        <v>3</v>
      </c>
      <c r="K19" t="str">
        <f>IF(B19="","",IF(ISNA(MATCH(C19,{0,1,2,3,4},0)),"BAD","OK"))</f>
        <v>OK</v>
      </c>
    </row>
    <row r="20" spans="1:11">
      <c r="A20" s="80">
        <f>סיווג!A28</f>
        <v>15</v>
      </c>
      <c r="B20" s="81" t="str">
        <f>IF(סיווג!B28=0,"",סיווג!B28)</f>
        <v>יפו</v>
      </c>
      <c r="C20" s="69">
        <v>3</v>
      </c>
      <c r="D20" s="69"/>
      <c r="E20" s="272">
        <f t="shared" si="0"/>
        <v>3</v>
      </c>
      <c r="F20" s="88">
        <f>IF(B20="","",סיווג!X28)</f>
        <v>0.25</v>
      </c>
      <c r="G20" s="90">
        <f t="shared" si="3"/>
        <v>0.75</v>
      </c>
      <c r="H20" s="91">
        <f t="shared" si="1"/>
        <v>2.3622047244094491E-2</v>
      </c>
      <c r="J20">
        <f t="shared" si="2"/>
        <v>3</v>
      </c>
      <c r="K20" t="str">
        <f>IF(B20="","",IF(ISNA(MATCH(C20,{0,1,2,3,4},0)),"BAD","OK"))</f>
        <v>OK</v>
      </c>
    </row>
    <row r="21" spans="1:11">
      <c r="A21" s="80">
        <f>סיווג!A29</f>
        <v>16</v>
      </c>
      <c r="B21" s="81" t="str">
        <f>IF(סיווג!B29=0,"",סיווג!B29)</f>
        <v/>
      </c>
      <c r="C21" s="69"/>
      <c r="D21" s="69"/>
      <c r="E21" s="272" t="str">
        <f t="shared" si="0"/>
        <v/>
      </c>
      <c r="F21" s="88" t="str">
        <f>IF(B21="","",סיווג!X29)</f>
        <v/>
      </c>
      <c r="G21" s="90" t="str">
        <f t="shared" si="3"/>
        <v/>
      </c>
      <c r="H21" s="91" t="str">
        <f t="shared" si="1"/>
        <v/>
      </c>
      <c r="J21" t="str">
        <f t="shared" si="2"/>
        <v>בדוק ניקוד</v>
      </c>
      <c r="K21" t="str">
        <f>IF(B21="","",IF(ISNA(MATCH(C21,{0,1,2,3,4},0)),"BAD","OK"))</f>
        <v/>
      </c>
    </row>
    <row r="22" spans="1:11">
      <c r="A22" s="80">
        <f>סיווג!A30</f>
        <v>17</v>
      </c>
      <c r="B22" s="81" t="str">
        <f>IF(סיווג!B30=0,"",סיווג!B30)</f>
        <v>אינקובטור</v>
      </c>
      <c r="C22" s="69">
        <v>2</v>
      </c>
      <c r="D22" s="69"/>
      <c r="E22" s="272">
        <f t="shared" si="0"/>
        <v>2</v>
      </c>
      <c r="F22" s="88">
        <f>IF(B22="","",סיווג!X30)</f>
        <v>0.25</v>
      </c>
      <c r="G22" s="90">
        <f t="shared" si="3"/>
        <v>0.5</v>
      </c>
      <c r="H22" s="91">
        <f t="shared" si="1"/>
        <v>1.5748031496062995E-2</v>
      </c>
      <c r="J22">
        <f t="shared" si="2"/>
        <v>2</v>
      </c>
      <c r="K22" t="str">
        <f>IF(B22="","",IF(ISNA(MATCH(C22,{0,1,2,3,4},0)),"BAD","OK"))</f>
        <v>OK</v>
      </c>
    </row>
    <row r="23" spans="1:11">
      <c r="A23" s="80">
        <f>סיווג!A31</f>
        <v>18</v>
      </c>
      <c r="B23" s="81" t="str">
        <f>IF(סיווג!B31=0,"",סיווג!B31)</f>
        <v>אורנה פורת</v>
      </c>
      <c r="C23" s="69">
        <v>4</v>
      </c>
      <c r="D23" s="69"/>
      <c r="E23" s="272">
        <f t="shared" si="0"/>
        <v>4</v>
      </c>
      <c r="F23" s="88">
        <f>IF(B23="","",סיווג!X31)</f>
        <v>0.6</v>
      </c>
      <c r="G23" s="90">
        <f t="shared" si="3"/>
        <v>2.4</v>
      </c>
      <c r="H23" s="91">
        <f t="shared" si="1"/>
        <v>7.5590551181102361E-2</v>
      </c>
      <c r="J23">
        <f t="shared" si="2"/>
        <v>4</v>
      </c>
      <c r="K23" t="str">
        <f>IF(B23="","",IF(ISNA(MATCH(C23,{0,1,2,3,4},0)),"BAD","OK"))</f>
        <v>OK</v>
      </c>
    </row>
    <row r="24" spans="1:11">
      <c r="A24" s="80">
        <f>סיווג!A32</f>
        <v>19</v>
      </c>
      <c r="B24" s="81" t="str">
        <f>IF(סיווג!B32=0,"",סיווג!B32)</f>
        <v>ארצי לנוער</v>
      </c>
      <c r="C24" s="69">
        <v>2</v>
      </c>
      <c r="D24" s="69"/>
      <c r="E24" s="272">
        <f t="shared" si="0"/>
        <v>2</v>
      </c>
      <c r="F24" s="88">
        <f>IF(B24="","",סיווג!X32)</f>
        <v>0.6</v>
      </c>
      <c r="G24" s="90">
        <f t="shared" si="3"/>
        <v>1.2</v>
      </c>
      <c r="H24" s="91">
        <f t="shared" si="1"/>
        <v>3.7795275590551181E-2</v>
      </c>
      <c r="J24">
        <f t="shared" si="2"/>
        <v>2</v>
      </c>
      <c r="K24" t="str">
        <f>IF(B24="","",IF(ISNA(MATCH(C24,{0,1,2,3,4},0)),"BAD","OK"))</f>
        <v>OK</v>
      </c>
    </row>
    <row r="25" spans="1:11">
      <c r="A25" s="80">
        <f>סיווג!A33</f>
        <v>20</v>
      </c>
      <c r="B25" s="81" t="str">
        <f>IF(סיווג!B33=0,"",סיווג!B33)</f>
        <v>הקיבוץ</v>
      </c>
      <c r="C25" s="69">
        <v>2</v>
      </c>
      <c r="D25" s="69"/>
      <c r="E25" s="272">
        <f t="shared" si="0"/>
        <v>2</v>
      </c>
      <c r="F25" s="88">
        <f>IF(B25="","",סיווג!X33)</f>
        <v>0.2</v>
      </c>
      <c r="G25" s="90">
        <f t="shared" si="3"/>
        <v>0.4</v>
      </c>
      <c r="H25" s="91">
        <f t="shared" si="1"/>
        <v>1.2598425196850395E-2</v>
      </c>
      <c r="J25">
        <f t="shared" si="2"/>
        <v>2</v>
      </c>
      <c r="K25" t="str">
        <f>IF(B25="","",IF(ISNA(MATCH(C25,{0,1,2,3,4},0)),"BAD","OK"))</f>
        <v>OK</v>
      </c>
    </row>
    <row r="26" spans="1:11">
      <c r="A26" s="80">
        <f>סיווג!A34</f>
        <v>21</v>
      </c>
      <c r="B26" s="81" t="str">
        <f>IF(סיווג!B34=0,"",סיווג!B34)</f>
        <v>הקרון</v>
      </c>
      <c r="C26" s="69">
        <v>4</v>
      </c>
      <c r="D26" s="69"/>
      <c r="E26" s="272">
        <f t="shared" si="0"/>
        <v>4</v>
      </c>
      <c r="F26" s="88">
        <f>IF(B26="","",סיווג!X34)</f>
        <v>0.2</v>
      </c>
      <c r="G26" s="90">
        <f t="shared" si="3"/>
        <v>0.8</v>
      </c>
      <c r="H26" s="91">
        <f t="shared" si="1"/>
        <v>2.5196850393700791E-2</v>
      </c>
      <c r="J26">
        <f t="shared" si="2"/>
        <v>4</v>
      </c>
      <c r="K26" t="str">
        <f>IF(B26="","",IF(ISNA(MATCH(C26,{0,1,2,3,4},0)),"BAD","OK"))</f>
        <v>OK</v>
      </c>
    </row>
    <row r="27" spans="1:11">
      <c r="A27" s="80">
        <f>סיווג!A35</f>
        <v>22</v>
      </c>
      <c r="B27" s="81" t="str">
        <f>IF(סיווג!B35=0,"",סיווג!B35)</f>
        <v>בית הגפן</v>
      </c>
      <c r="C27" s="69">
        <v>1</v>
      </c>
      <c r="D27" s="69"/>
      <c r="E27" s="272">
        <f t="shared" si="0"/>
        <v>1</v>
      </c>
      <c r="F27" s="88">
        <f>IF(B27="","",סיווג!X35)</f>
        <v>0.2</v>
      </c>
      <c r="G27" s="90">
        <f t="shared" si="3"/>
        <v>0.2</v>
      </c>
      <c r="H27" s="91">
        <f t="shared" si="1"/>
        <v>6.2992125984251976E-3</v>
      </c>
      <c r="J27">
        <f t="shared" si="2"/>
        <v>1</v>
      </c>
      <c r="K27" t="str">
        <f>IF(B27="","",IF(ISNA(MATCH(C27,{0,1,2,3,4},0)),"BAD","OK"))</f>
        <v>OK</v>
      </c>
    </row>
    <row r="28" spans="1:11">
      <c r="A28" s="80">
        <f>סיווג!A36</f>
        <v>23</v>
      </c>
      <c r="B28" s="81" t="str">
        <f>IF(סיווג!B36=0,"",סיווג!B36)</f>
        <v>הנפש</v>
      </c>
      <c r="C28" s="69">
        <v>2</v>
      </c>
      <c r="D28" s="69"/>
      <c r="E28" s="272">
        <f t="shared" si="0"/>
        <v>2</v>
      </c>
      <c r="F28" s="88">
        <f>IF(B28="","",סיווג!X36)</f>
        <v>0.2</v>
      </c>
      <c r="G28" s="90">
        <f t="shared" si="3"/>
        <v>0.4</v>
      </c>
      <c r="H28" s="91">
        <f t="shared" si="1"/>
        <v>1.2598425196850395E-2</v>
      </c>
      <c r="J28">
        <f t="shared" si="2"/>
        <v>2</v>
      </c>
      <c r="K28" t="str">
        <f>IF(B28="","",IF(ISNA(MATCH(C28,{0,1,2,3,4},0)),"BAD","OK"))</f>
        <v>OK</v>
      </c>
    </row>
    <row r="29" spans="1:11">
      <c r="A29" s="80">
        <f>סיווג!A37</f>
        <v>24</v>
      </c>
      <c r="B29" s="81" t="str">
        <f>IF(סיווג!B37=0,"",סיווג!B37)</f>
        <v>השעה</v>
      </c>
      <c r="C29" s="69">
        <v>3</v>
      </c>
      <c r="D29" s="69"/>
      <c r="E29" s="272">
        <f t="shared" si="0"/>
        <v>3</v>
      </c>
      <c r="F29" s="88">
        <f>IF(B29="","",סיווג!X37)</f>
        <v>0.6</v>
      </c>
      <c r="G29" s="90">
        <f t="shared" si="3"/>
        <v>1.7999999999999998</v>
      </c>
      <c r="H29" s="91">
        <f t="shared" si="1"/>
        <v>5.6692913385826771E-2</v>
      </c>
      <c r="J29">
        <f t="shared" si="2"/>
        <v>3</v>
      </c>
      <c r="K29" t="str">
        <f>IF(B29="","",IF(ISNA(MATCH(C29,{0,1,2,3,4},0)),"BAD","OK"))</f>
        <v>OK</v>
      </c>
    </row>
    <row r="30" spans="1:11">
      <c r="A30" s="80">
        <f>סיווג!A38</f>
        <v>25</v>
      </c>
      <c r="B30" s="81" t="str">
        <f>IF(סיווג!B38=0,"",סיווג!B38)</f>
        <v>עדי</v>
      </c>
      <c r="C30" s="69">
        <v>2</v>
      </c>
      <c r="D30" s="69"/>
      <c r="E30" s="272">
        <f t="shared" si="0"/>
        <v>2</v>
      </c>
      <c r="F30" s="88">
        <f>IF(B30="","",סיווג!X38)</f>
        <v>0.2</v>
      </c>
      <c r="G30" s="90">
        <f t="shared" si="3"/>
        <v>0.4</v>
      </c>
      <c r="H30" s="91">
        <f t="shared" si="1"/>
        <v>1.2598425196850395E-2</v>
      </c>
      <c r="J30">
        <f t="shared" si="2"/>
        <v>2</v>
      </c>
      <c r="K30" t="str">
        <f>IF(B30="","",IF(ISNA(MATCH(C30,{0,1,2,3,4},0)),"BAD","OK"))</f>
        <v>OK</v>
      </c>
    </row>
    <row r="31" spans="1:11">
      <c r="A31" s="80">
        <f>סיווג!A39</f>
        <v>26</v>
      </c>
      <c r="B31" s="81" t="str">
        <f>IF(סיווג!B39=0,"",סיווג!B39)</f>
        <v>מדייטק</v>
      </c>
      <c r="C31" s="69">
        <v>2</v>
      </c>
      <c r="D31" s="69"/>
      <c r="E31" s="272">
        <f t="shared" si="0"/>
        <v>2</v>
      </c>
      <c r="F31" s="88">
        <f>IF(B31="","",סיווג!X39)</f>
        <v>0.4</v>
      </c>
      <c r="G31" s="90">
        <f t="shared" si="3"/>
        <v>0.8</v>
      </c>
      <c r="H31" s="91">
        <f t="shared" si="1"/>
        <v>2.5196850393700791E-2</v>
      </c>
      <c r="J31">
        <f t="shared" si="2"/>
        <v>2</v>
      </c>
      <c r="K31" t="str">
        <f>IF(B31="","",IF(ISNA(MATCH(C31,{0,1,2,3,4},0)),"BAD","OK"))</f>
        <v>OK</v>
      </c>
    </row>
    <row r="32" spans="1:11">
      <c r="A32" s="80">
        <f>סיווג!A40</f>
        <v>27</v>
      </c>
      <c r="B32" s="81" t="str">
        <f>IF(סיווג!B40=0,"",סיווג!B40)</f>
        <v>חני</v>
      </c>
      <c r="C32" s="69">
        <v>2</v>
      </c>
      <c r="D32" s="69"/>
      <c r="E32" s="272">
        <f t="shared" si="0"/>
        <v>2</v>
      </c>
      <c r="F32" s="88">
        <f>IF(B32="","",סיווג!X40)</f>
        <v>0.2</v>
      </c>
      <c r="G32" s="90">
        <f t="shared" si="3"/>
        <v>0.4</v>
      </c>
      <c r="H32" s="91">
        <f t="shared" si="1"/>
        <v>1.2598425196850395E-2</v>
      </c>
      <c r="J32">
        <f t="shared" si="2"/>
        <v>2</v>
      </c>
      <c r="K32" t="str">
        <f>IF(B32="","",IF(ISNA(MATCH(C32,{0,1,2,3,4},0)),"BAD","OK"))</f>
        <v>OK</v>
      </c>
    </row>
    <row r="33" spans="1:11">
      <c r="A33" s="80">
        <f>סיווג!A41</f>
        <v>28</v>
      </c>
      <c r="B33" s="81" t="str">
        <f>IF(סיווג!B41=0,"",סיווג!B41)</f>
        <v xml:space="preserve">גשן </v>
      </c>
      <c r="C33" s="69">
        <v>3</v>
      </c>
      <c r="D33" s="69"/>
      <c r="E33" s="272">
        <f t="shared" si="0"/>
        <v>3</v>
      </c>
      <c r="F33" s="88">
        <f>IF(B33="","",סיווג!X41)</f>
        <v>0.2</v>
      </c>
      <c r="G33" s="90">
        <f t="shared" si="3"/>
        <v>0.60000000000000009</v>
      </c>
      <c r="H33" s="91">
        <f t="shared" si="1"/>
        <v>1.8897637795275594E-2</v>
      </c>
      <c r="J33">
        <f t="shared" si="2"/>
        <v>3</v>
      </c>
      <c r="K33" t="str">
        <f>IF(B33="","",IF(ISNA(MATCH(C33,{0,1,2,3,4},0)),"BAD","OK"))</f>
        <v>OK</v>
      </c>
    </row>
    <row r="34" spans="1:11">
      <c r="A34" s="80">
        <f>סיווג!A42</f>
        <v>29</v>
      </c>
      <c r="B34" s="81" t="str">
        <f>IF(סיווג!B42=0,"",סיווג!B42)</f>
        <v>תיאטרון העברי</v>
      </c>
      <c r="C34" s="69">
        <v>2</v>
      </c>
      <c r="D34" s="69"/>
      <c r="E34" s="272">
        <f t="shared" si="0"/>
        <v>2</v>
      </c>
      <c r="F34" s="88">
        <f>IF(B34="","",סיווג!X42)</f>
        <v>0.25</v>
      </c>
      <c r="G34" s="90">
        <f t="shared" si="3"/>
        <v>0.5</v>
      </c>
      <c r="H34" s="91">
        <f t="shared" si="1"/>
        <v>1.5748031496062995E-2</v>
      </c>
      <c r="J34">
        <f t="shared" si="2"/>
        <v>2</v>
      </c>
      <c r="K34" t="str">
        <f>IF(B34="","",IF(ISNA(MATCH(C34,{0,1,2,3,4},0)),"BAD","OK"))</f>
        <v>OK</v>
      </c>
    </row>
    <row r="35" spans="1:11">
      <c r="A35" s="80">
        <f>סיווג!A43</f>
        <v>30</v>
      </c>
      <c r="B35" s="81" t="str">
        <f>IF(סיווג!B43=0,"",סיווג!B43)</f>
        <v>גליון ריק 2</v>
      </c>
      <c r="C35" s="69"/>
      <c r="D35" s="69"/>
      <c r="E35" s="272">
        <f t="shared" si="0"/>
        <v>0</v>
      </c>
      <c r="F35" s="88">
        <f>IF(B35="","",סיווג!X43)</f>
        <v>0</v>
      </c>
      <c r="G35" s="90">
        <f t="shared" si="3"/>
        <v>0</v>
      </c>
      <c r="H35" s="91">
        <f t="shared" si="1"/>
        <v>0</v>
      </c>
      <c r="J35">
        <f t="shared" si="2"/>
        <v>0</v>
      </c>
      <c r="K35" t="str">
        <f>IF(B35="","",IF(ISNA(MATCH(C35,{0,1,2,3,4},0)),"BAD","OK"))</f>
        <v>OK</v>
      </c>
    </row>
    <row r="36" spans="1:11">
      <c r="A36" s="80">
        <f>סיווג!A44</f>
        <v>31</v>
      </c>
      <c r="B36" s="81" t="str">
        <f>IF(סיווג!B44=0,"",סיווג!B44)</f>
        <v>גליון ריק 3</v>
      </c>
      <c r="C36" s="69"/>
      <c r="D36" s="69"/>
      <c r="E36" s="272">
        <f t="shared" si="0"/>
        <v>0</v>
      </c>
      <c r="F36" s="88">
        <f>IF(B36="","",סיווג!X44)</f>
        <v>0</v>
      </c>
      <c r="G36" s="90">
        <f t="shared" si="3"/>
        <v>0</v>
      </c>
      <c r="H36" s="91">
        <f t="shared" si="1"/>
        <v>0</v>
      </c>
      <c r="J36">
        <f t="shared" si="2"/>
        <v>0</v>
      </c>
      <c r="K36" t="str">
        <f>IF(B36="","",IF(ISNA(MATCH(C36,{0,1,2,3,4},0)),"BAD","OK"))</f>
        <v>OK</v>
      </c>
    </row>
    <row r="37" spans="1:11">
      <c r="A37" s="80">
        <f>סיווג!A45</f>
        <v>32</v>
      </c>
      <c r="B37" s="81" t="str">
        <f>IF(סיווג!B45=0,"",סיווג!B45)</f>
        <v/>
      </c>
      <c r="C37" s="69"/>
      <c r="D37" s="69"/>
      <c r="E37" s="272" t="str">
        <f t="shared" si="0"/>
        <v/>
      </c>
      <c r="F37" s="88" t="str">
        <f>IF(B37="","",סיווג!X45)</f>
        <v/>
      </c>
      <c r="G37" s="90" t="str">
        <f t="shared" si="3"/>
        <v/>
      </c>
      <c r="H37" s="91" t="str">
        <f t="shared" si="1"/>
        <v/>
      </c>
      <c r="J37" t="str">
        <f t="shared" si="2"/>
        <v>בדוק ניקוד</v>
      </c>
      <c r="K37" t="str">
        <f>IF(B37="","",IF(ISNA(MATCH(C37,{0,1,2,3,4},0)),"BAD","OK"))</f>
        <v/>
      </c>
    </row>
    <row r="38" spans="1:11" ht="13.5" thickBot="1">
      <c r="A38" s="82">
        <f>סיווג!A46</f>
        <v>33</v>
      </c>
      <c r="B38" s="83" t="str">
        <f>IF(סיווג!B46=0,"",סיווג!B46)</f>
        <v/>
      </c>
      <c r="C38" s="69"/>
      <c r="D38" s="274"/>
      <c r="E38" s="273" t="str">
        <f t="shared" si="0"/>
        <v/>
      </c>
      <c r="F38" s="89" t="str">
        <f>IF(B38="","",סיווג!X46)</f>
        <v/>
      </c>
      <c r="G38" s="90" t="str">
        <f t="shared" si="3"/>
        <v/>
      </c>
      <c r="H38" s="91" t="str">
        <f t="shared" si="1"/>
        <v/>
      </c>
      <c r="J38" t="str">
        <f t="shared" si="2"/>
        <v>בדוק ניקוד</v>
      </c>
      <c r="K38" t="str">
        <f>IF(B38="","",IF(ISNA(MATCH(C38,{0,1,2,3,4},0)),"BAD","OK"))</f>
        <v/>
      </c>
    </row>
    <row r="39" spans="1:11" ht="14.25" thickTop="1" thickBot="1">
      <c r="A39" s="618" t="s">
        <v>26</v>
      </c>
      <c r="B39" s="650"/>
      <c r="C39" s="650"/>
      <c r="D39" s="650"/>
      <c r="E39" s="650"/>
      <c r="F39" s="650"/>
      <c r="G39" s="6">
        <f>SUM(G6:G38)</f>
        <v>31.749999999999996</v>
      </c>
      <c r="H39" s="7">
        <f>SUM(H6:H38)</f>
        <v>1</v>
      </c>
    </row>
    <row r="40" spans="1:11" ht="13.5" thickTop="1"/>
  </sheetData>
  <sheetProtection password="CC01" sheet="1" objects="1" scenarios="1" formatColumns="0" formatRows="0"/>
  <mergeCells count="10">
    <mergeCell ref="A3:H3"/>
    <mergeCell ref="A39:F39"/>
    <mergeCell ref="B1:C1"/>
    <mergeCell ref="B2:C2"/>
    <mergeCell ref="C4:E4"/>
    <mergeCell ref="A4:A5"/>
    <mergeCell ref="B4:B5"/>
    <mergeCell ref="F4:F5"/>
    <mergeCell ref="G4:G5"/>
    <mergeCell ref="H4:H5"/>
  </mergeCells>
  <phoneticPr fontId="5" type="noConversion"/>
  <conditionalFormatting sqref="C35:C38">
    <cfRule type="cellIs" dxfId="96" priority="5" stopIfTrue="1" operator="notEqual">
      <formula>J35</formula>
    </cfRule>
  </conditionalFormatting>
  <conditionalFormatting sqref="E6:E38">
    <cfRule type="expression" dxfId="95" priority="2" stopIfTrue="1">
      <formula>IF(E6&gt;C6,1,0)</formula>
    </cfRule>
  </conditionalFormatting>
  <conditionalFormatting sqref="C6:C34">
    <cfRule type="cellIs" dxfId="94" priority="1" stopIfTrue="1" operator="notEqual">
      <formula>J6</formula>
    </cfRule>
  </conditionalFormatting>
  <dataValidations count="1">
    <dataValidation type="list" errorStyle="warning" allowBlank="1" showInputMessage="1" showErrorMessage="1" errorTitle="טעות בהזנה" error="יש להזין את הניקוד המתאים לרמת הרפרטואר 0, 1, 2, 3 או 4" sqref="C6:C38">
      <formula1>"0,1,2,3,4"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indexed="46"/>
    <pageSetUpPr fitToPage="1"/>
  </sheetPr>
  <dimension ref="A1:K40"/>
  <sheetViews>
    <sheetView rightToLeft="1" view="pageBreakPreview" zoomScale="73" workbookViewId="0">
      <selection activeCell="C7" sqref="C7"/>
    </sheetView>
  </sheetViews>
  <sheetFormatPr defaultRowHeight="12.75"/>
  <cols>
    <col min="1" max="1" width="10" bestFit="1" customWidth="1"/>
    <col min="2" max="2" width="26.5703125" customWidth="1"/>
    <col min="3" max="3" width="19.7109375" customWidth="1"/>
    <col min="4" max="4" width="16.140625" hidden="1" customWidth="1"/>
    <col min="5" max="5" width="16.5703125" hidden="1" customWidth="1"/>
    <col min="6" max="6" width="16.140625" bestFit="1" customWidth="1"/>
    <col min="7" max="7" width="11.28515625" customWidth="1"/>
    <col min="8" max="8" width="12.28515625" customWidth="1"/>
    <col min="10" max="11" width="9.140625" hidden="1" customWidth="1"/>
  </cols>
  <sheetData>
    <row r="1" spans="1:11" ht="17.25" thickTop="1" thickBot="1">
      <c r="B1" s="620" t="str">
        <f>פרמטרים!B1</f>
        <v>שנת התקציב</v>
      </c>
      <c r="C1" s="621"/>
      <c r="F1" s="152">
        <f>פרמטרים!D1</f>
        <v>2018</v>
      </c>
    </row>
    <row r="2" spans="1:11" ht="16.5" thickBot="1">
      <c r="B2" s="622" t="str">
        <f>פרמטרים!B2</f>
        <v>תקציב</v>
      </c>
      <c r="C2" s="623"/>
      <c r="F2" s="140">
        <f>פרמטרים!D2</f>
        <v>98822015</v>
      </c>
    </row>
    <row r="3" spans="1:11" ht="17.25" thickTop="1" thickBot="1">
      <c r="A3" s="615" t="s">
        <v>158</v>
      </c>
      <c r="B3" s="616"/>
      <c r="C3" s="616"/>
      <c r="D3" s="616"/>
      <c r="E3" s="616"/>
      <c r="F3" s="616"/>
      <c r="G3" s="616"/>
      <c r="H3" s="617"/>
    </row>
    <row r="4" spans="1:11" ht="31.5" customHeight="1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159</v>
      </c>
      <c r="D4" s="628"/>
      <c r="E4" s="629"/>
      <c r="F4" s="626" t="s">
        <v>150</v>
      </c>
      <c r="G4" s="626" t="s">
        <v>19</v>
      </c>
      <c r="H4" s="630" t="s">
        <v>154</v>
      </c>
    </row>
    <row r="5" spans="1:11" ht="13.5" thickBot="1">
      <c r="A5" s="625"/>
      <c r="B5" s="614"/>
      <c r="C5" s="269" t="str">
        <f>סיווג!J13</f>
        <v xml:space="preserve"> שנת 2017</v>
      </c>
      <c r="D5" s="269" t="e">
        <f>סיווג!I13</f>
        <v>#VALUE!</v>
      </c>
      <c r="E5" s="269" t="str">
        <f>סיווג!J13</f>
        <v xml:space="preserve"> שנת 2017</v>
      </c>
      <c r="F5" s="614"/>
      <c r="G5" s="614"/>
      <c r="H5" s="631"/>
    </row>
    <row r="6" spans="1:11">
      <c r="A6" s="78">
        <f>סיווג!A14</f>
        <v>1</v>
      </c>
      <c r="B6" s="79" t="str">
        <f>IF(סיווג!B14=0,"",סיווג!B14)</f>
        <v>הבימה</v>
      </c>
      <c r="C6" s="69">
        <v>2</v>
      </c>
      <c r="D6" s="69"/>
      <c r="E6" s="272">
        <f t="shared" ref="E6:E38" si="0">IF($B6="","",MAX(C6:D6))</f>
        <v>2</v>
      </c>
      <c r="F6" s="87">
        <f>IF(B6="","",סיווג!X14)</f>
        <v>1</v>
      </c>
      <c r="G6" s="90">
        <f>IF(OR(ISERR(1*F6),K6="BAD"),"",F6*C6)</f>
        <v>2</v>
      </c>
      <c r="H6" s="91">
        <f t="shared" ref="H6:H38" si="1">IF(ISERR(G6/$G$39),"",G6/$G$39)</f>
        <v>0.12861736334405147</v>
      </c>
      <c r="J6">
        <f t="shared" ref="J6:J38" si="2">IF(K6="OK",C6,"בדוק ניקוד")</f>
        <v>2</v>
      </c>
      <c r="K6" t="str">
        <f>IF(B6="","",IF(ISNA(MATCH(C6,{0,1,2},0)),"BAD","OK"))</f>
        <v>OK</v>
      </c>
    </row>
    <row r="7" spans="1:11">
      <c r="A7" s="80">
        <f>סיווג!A15</f>
        <v>2</v>
      </c>
      <c r="B7" s="81" t="str">
        <f>IF(סיווג!B15=0,"",סיווג!B15)</f>
        <v>הקאמרי</v>
      </c>
      <c r="C7" s="69">
        <v>2</v>
      </c>
      <c r="D7" s="69"/>
      <c r="E7" s="272">
        <f t="shared" si="0"/>
        <v>2</v>
      </c>
      <c r="F7" s="88">
        <f>IF(B7="","",סיווג!X15)</f>
        <v>1</v>
      </c>
      <c r="G7" s="90">
        <f t="shared" ref="G7:G38" si="3">IF(OR(ISERR(1*F7),K7="BAD"),"",F7*C7)</f>
        <v>2</v>
      </c>
      <c r="H7" s="91">
        <f t="shared" si="1"/>
        <v>0.12861736334405147</v>
      </c>
      <c r="J7">
        <f t="shared" si="2"/>
        <v>2</v>
      </c>
      <c r="K7" t="str">
        <f>IF(B7="","",IF(ISNA(MATCH(C7,{0,1,2},0)),"BAD","OK"))</f>
        <v>OK</v>
      </c>
    </row>
    <row r="8" spans="1:11">
      <c r="A8" s="80">
        <f>סיווג!A16</f>
        <v>3</v>
      </c>
      <c r="B8" s="81" t="str">
        <f>IF(סיווג!B16=0,"",סיווג!B16)</f>
        <v>בית לסין</v>
      </c>
      <c r="C8" s="69">
        <v>1</v>
      </c>
      <c r="D8" s="69"/>
      <c r="E8" s="272">
        <f t="shared" si="0"/>
        <v>1</v>
      </c>
      <c r="F8" s="88">
        <f>IF(B8="","",סיווג!X16)</f>
        <v>1</v>
      </c>
      <c r="G8" s="90">
        <f t="shared" si="3"/>
        <v>1</v>
      </c>
      <c r="H8" s="91">
        <f t="shared" si="1"/>
        <v>6.4308681672025733E-2</v>
      </c>
      <c r="J8">
        <f t="shared" si="2"/>
        <v>1</v>
      </c>
      <c r="K8" t="str">
        <f>IF(B8="","",IF(ISNA(MATCH(C8,{0,1,2},0)),"BAD","OK"))</f>
        <v>OK</v>
      </c>
    </row>
    <row r="9" spans="1:11">
      <c r="A9" s="80">
        <f>סיווג!A17</f>
        <v>4</v>
      </c>
      <c r="B9" s="81" t="str">
        <f>IF(סיווג!B17=0,"",סיווג!B17)</f>
        <v>חיפה</v>
      </c>
      <c r="C9" s="69">
        <v>1</v>
      </c>
      <c r="D9" s="69"/>
      <c r="E9" s="272">
        <f t="shared" si="0"/>
        <v>1</v>
      </c>
      <c r="F9" s="88">
        <f>IF(B9="","",סיווג!X17)</f>
        <v>0.8</v>
      </c>
      <c r="G9" s="90">
        <f t="shared" si="3"/>
        <v>0.8</v>
      </c>
      <c r="H9" s="91">
        <f t="shared" si="1"/>
        <v>5.1446945337620585E-2</v>
      </c>
      <c r="J9">
        <f t="shared" si="2"/>
        <v>1</v>
      </c>
      <c r="K9" t="str">
        <f>IF(B9="","",IF(ISNA(MATCH(C9,{0,1,2},0)),"BAD","OK"))</f>
        <v>OK</v>
      </c>
    </row>
    <row r="10" spans="1:11">
      <c r="A10" s="80">
        <f>סיווג!A18</f>
        <v>5</v>
      </c>
      <c r="B10" s="81" t="str">
        <f>IF(סיווג!B18=0,"",סיווג!B18)</f>
        <v>באר שבע</v>
      </c>
      <c r="C10" s="69">
        <v>2</v>
      </c>
      <c r="D10" s="69"/>
      <c r="E10" s="272">
        <f t="shared" si="0"/>
        <v>2</v>
      </c>
      <c r="F10" s="88">
        <f>IF(B10="","",סיווג!X18)</f>
        <v>0.8</v>
      </c>
      <c r="G10" s="90">
        <f t="shared" si="3"/>
        <v>1.6</v>
      </c>
      <c r="H10" s="91">
        <f t="shared" si="1"/>
        <v>0.10289389067524117</v>
      </c>
      <c r="J10">
        <f t="shared" si="2"/>
        <v>2</v>
      </c>
      <c r="K10" t="str">
        <f>IF(B10="","",IF(ISNA(MATCH(C10,{0,1,2},0)),"BAD","OK"))</f>
        <v>OK</v>
      </c>
    </row>
    <row r="11" spans="1:11">
      <c r="A11" s="80">
        <f>סיווג!A19</f>
        <v>6</v>
      </c>
      <c r="B11" s="81" t="str">
        <f>IF(סיווג!B19=0,"",סיווג!B19)</f>
        <v>גשר</v>
      </c>
      <c r="C11" s="69">
        <v>2</v>
      </c>
      <c r="D11" s="69"/>
      <c r="E11" s="272">
        <f t="shared" si="0"/>
        <v>2</v>
      </c>
      <c r="F11" s="88">
        <f>IF(B11="","",סיווג!X19)</f>
        <v>0.8</v>
      </c>
      <c r="G11" s="90">
        <f t="shared" si="3"/>
        <v>1.6</v>
      </c>
      <c r="H11" s="91">
        <f t="shared" si="1"/>
        <v>0.10289389067524117</v>
      </c>
      <c r="J11">
        <f t="shared" si="2"/>
        <v>2</v>
      </c>
      <c r="K11" t="str">
        <f>IF(B11="","",IF(ISNA(MATCH(C11,{0,1,2},0)),"BAD","OK"))</f>
        <v>OK</v>
      </c>
    </row>
    <row r="12" spans="1:11">
      <c r="A12" s="80">
        <f>סיווג!A20</f>
        <v>7</v>
      </c>
      <c r="B12" s="81" t="str">
        <f>IF(סיווג!B20=0,"",סיווג!B20)</f>
        <v>החאן</v>
      </c>
      <c r="C12" s="69">
        <v>2</v>
      </c>
      <c r="D12" s="69"/>
      <c r="E12" s="272">
        <f t="shared" si="0"/>
        <v>2</v>
      </c>
      <c r="F12" s="88">
        <f>IF(B12="","",סיווג!X20)</f>
        <v>0.8</v>
      </c>
      <c r="G12" s="90">
        <f t="shared" si="3"/>
        <v>1.6</v>
      </c>
      <c r="H12" s="91">
        <f t="shared" si="1"/>
        <v>0.10289389067524117</v>
      </c>
      <c r="J12">
        <f t="shared" si="2"/>
        <v>2</v>
      </c>
      <c r="K12" t="str">
        <f>IF(B12="","",IF(ISNA(MATCH(C12,{0,1,2},0)),"BAD","OK"))</f>
        <v>OK</v>
      </c>
    </row>
    <row r="13" spans="1:11">
      <c r="A13" s="80">
        <f>סיווג!A21</f>
        <v>8</v>
      </c>
      <c r="B13" s="81" t="str">
        <f>IF(סיווג!B21=0,"",סיווג!B21)</f>
        <v>היידישפיל</v>
      </c>
      <c r="C13" s="69">
        <v>1</v>
      </c>
      <c r="D13" s="69"/>
      <c r="E13" s="272">
        <f t="shared" si="0"/>
        <v>1</v>
      </c>
      <c r="F13" s="88">
        <f>IF(B13="","",סיווג!X21)</f>
        <v>0.8</v>
      </c>
      <c r="G13" s="90">
        <f t="shared" si="3"/>
        <v>0.8</v>
      </c>
      <c r="H13" s="91">
        <f t="shared" si="1"/>
        <v>5.1446945337620585E-2</v>
      </c>
      <c r="J13">
        <f t="shared" si="2"/>
        <v>1</v>
      </c>
      <c r="K13" t="str">
        <f>IF(B13="","",IF(ISNA(MATCH(C13,{0,1,2},0)),"BAD","OK"))</f>
        <v>OK</v>
      </c>
    </row>
    <row r="14" spans="1:11">
      <c r="A14" s="80">
        <f>סיווג!A22</f>
        <v>9</v>
      </c>
      <c r="B14" s="81" t="str">
        <f>IF(סיווג!B22=0,"",סיווג!B22)</f>
        <v>תיאטרון אלמידאן</v>
      </c>
      <c r="C14" s="69">
        <v>0</v>
      </c>
      <c r="D14" s="69"/>
      <c r="E14" s="272">
        <f t="shared" si="0"/>
        <v>0</v>
      </c>
      <c r="F14" s="88">
        <f>IF(B14="","",סיווג!X22)</f>
        <v>0</v>
      </c>
      <c r="G14" s="90">
        <f t="shared" si="3"/>
        <v>0</v>
      </c>
      <c r="H14" s="91">
        <f t="shared" si="1"/>
        <v>0</v>
      </c>
      <c r="J14">
        <f t="shared" si="2"/>
        <v>0</v>
      </c>
      <c r="K14" t="str">
        <f>IF(B14="","",IF(ISNA(MATCH(C14,{0,1,2},0)),"BAD","OK"))</f>
        <v>OK</v>
      </c>
    </row>
    <row r="15" spans="1:11">
      <c r="A15" s="80">
        <f>סיווג!A23</f>
        <v>10</v>
      </c>
      <c r="B15" s="81" t="str">
        <f>IF(סיווג!B23=0,"",סיווג!B23)</f>
        <v>הזירה הבין תחומית</v>
      </c>
      <c r="C15" s="69">
        <v>0</v>
      </c>
      <c r="D15" s="69"/>
      <c r="E15" s="272">
        <f t="shared" si="0"/>
        <v>0</v>
      </c>
      <c r="F15" s="88">
        <f>IF(B15="","",סיווג!X23)</f>
        <v>0.25</v>
      </c>
      <c r="G15" s="90">
        <f t="shared" si="3"/>
        <v>0</v>
      </c>
      <c r="H15" s="91">
        <f t="shared" si="1"/>
        <v>0</v>
      </c>
      <c r="J15">
        <f t="shared" si="2"/>
        <v>0</v>
      </c>
      <c r="K15" t="str">
        <f>IF(B15="","",IF(ISNA(MATCH(C15,{0,1,2},0)),"BAD","OK"))</f>
        <v>OK</v>
      </c>
    </row>
    <row r="16" spans="1:11">
      <c r="A16" s="80">
        <f>סיווג!A24</f>
        <v>11</v>
      </c>
      <c r="B16" s="81" t="str">
        <f>IF(סיווג!B24=0,"",סיווג!B24)</f>
        <v>אספקלריא</v>
      </c>
      <c r="C16" s="69">
        <v>0</v>
      </c>
      <c r="D16" s="69"/>
      <c r="E16" s="272">
        <f t="shared" si="0"/>
        <v>0</v>
      </c>
      <c r="F16" s="88">
        <f>IF(B16="","",סיווג!X24)</f>
        <v>0.25</v>
      </c>
      <c r="G16" s="90">
        <f t="shared" si="3"/>
        <v>0</v>
      </c>
      <c r="H16" s="91">
        <f t="shared" si="1"/>
        <v>0</v>
      </c>
      <c r="J16">
        <f t="shared" si="2"/>
        <v>0</v>
      </c>
      <c r="K16" t="str">
        <f>IF(B16="","",IF(ISNA(MATCH(C16,{0,1,2},0)),"BAD","OK"))</f>
        <v>OK</v>
      </c>
    </row>
    <row r="17" spans="1:11">
      <c r="A17" s="80">
        <f>סיווג!A25</f>
        <v>12</v>
      </c>
      <c r="B17" s="81" t="str">
        <f>IF(סיווג!B25=0,"",סיווג!B25)</f>
        <v/>
      </c>
      <c r="C17" s="69"/>
      <c r="D17" s="69"/>
      <c r="E17" s="272" t="str">
        <f t="shared" si="0"/>
        <v/>
      </c>
      <c r="F17" s="88" t="str">
        <f>IF(B17="","",סיווג!X25)</f>
        <v/>
      </c>
      <c r="G17" s="90" t="str">
        <f t="shared" si="3"/>
        <v/>
      </c>
      <c r="H17" s="91" t="str">
        <f t="shared" si="1"/>
        <v/>
      </c>
      <c r="J17" t="str">
        <f t="shared" si="2"/>
        <v>בדוק ניקוד</v>
      </c>
      <c r="K17" t="str">
        <f>IF(B17="","",IF(ISNA(MATCH(C17,{0,1,2},0)),"BAD","OK"))</f>
        <v/>
      </c>
    </row>
    <row r="18" spans="1:11">
      <c r="A18" s="80">
        <f>סיווג!A26</f>
        <v>13</v>
      </c>
      <c r="B18" s="81" t="str">
        <f>IF(סיווג!B26=0,"",סיווג!B26)</f>
        <v>עכו</v>
      </c>
      <c r="C18" s="69">
        <v>0</v>
      </c>
      <c r="D18" s="69"/>
      <c r="E18" s="272">
        <f t="shared" si="0"/>
        <v>0</v>
      </c>
      <c r="F18" s="88">
        <f>IF(B18="","",סיווג!X26)</f>
        <v>0.25</v>
      </c>
      <c r="G18" s="90">
        <f t="shared" si="3"/>
        <v>0</v>
      </c>
      <c r="H18" s="91">
        <f t="shared" si="1"/>
        <v>0</v>
      </c>
      <c r="J18">
        <f t="shared" si="2"/>
        <v>0</v>
      </c>
      <c r="K18" t="str">
        <f>IF(B18="","",IF(ISNA(MATCH(C18,{0,1,2},0)),"BAD","OK"))</f>
        <v>OK</v>
      </c>
    </row>
    <row r="19" spans="1:11">
      <c r="A19" s="80">
        <f>סיווג!A27</f>
        <v>14</v>
      </c>
      <c r="B19" s="81" t="str">
        <f>IF(סיווג!B27=0,"",סיווג!B27)</f>
        <v>הספרייה</v>
      </c>
      <c r="C19" s="69">
        <v>1</v>
      </c>
      <c r="D19" s="69"/>
      <c r="E19" s="272">
        <f t="shared" si="0"/>
        <v>1</v>
      </c>
      <c r="F19" s="88">
        <f>IF(B19="","",סיווג!X27)</f>
        <v>0.25</v>
      </c>
      <c r="G19" s="90">
        <f t="shared" si="3"/>
        <v>0.25</v>
      </c>
      <c r="H19" s="91">
        <f t="shared" si="1"/>
        <v>1.6077170418006433E-2</v>
      </c>
      <c r="J19">
        <f t="shared" si="2"/>
        <v>1</v>
      </c>
      <c r="K19" t="str">
        <f>IF(B19="","",IF(ISNA(MATCH(C19,{0,1,2},0)),"BAD","OK"))</f>
        <v>OK</v>
      </c>
    </row>
    <row r="20" spans="1:11">
      <c r="A20" s="80">
        <f>סיווג!A28</f>
        <v>15</v>
      </c>
      <c r="B20" s="81" t="str">
        <f>IF(סיווג!B28=0,"",סיווג!B28)</f>
        <v>יפו</v>
      </c>
      <c r="C20" s="69">
        <v>0</v>
      </c>
      <c r="D20" s="69"/>
      <c r="E20" s="272">
        <f t="shared" si="0"/>
        <v>0</v>
      </c>
      <c r="F20" s="88">
        <f>IF(B20="","",סיווג!X28)</f>
        <v>0.25</v>
      </c>
      <c r="G20" s="90">
        <f t="shared" si="3"/>
        <v>0</v>
      </c>
      <c r="H20" s="91">
        <f t="shared" si="1"/>
        <v>0</v>
      </c>
      <c r="J20">
        <f t="shared" si="2"/>
        <v>0</v>
      </c>
      <c r="K20" t="str">
        <f>IF(B20="","",IF(ISNA(MATCH(C20,{0,1,2},0)),"BAD","OK"))</f>
        <v>OK</v>
      </c>
    </row>
    <row r="21" spans="1:11">
      <c r="A21" s="80">
        <f>סיווג!A29</f>
        <v>16</v>
      </c>
      <c r="B21" s="81" t="str">
        <f>IF(סיווג!B29=0,"",סיווג!B29)</f>
        <v/>
      </c>
      <c r="C21" s="69"/>
      <c r="D21" s="69"/>
      <c r="E21" s="272" t="str">
        <f t="shared" si="0"/>
        <v/>
      </c>
      <c r="F21" s="88" t="str">
        <f>IF(B21="","",סיווג!X29)</f>
        <v/>
      </c>
      <c r="G21" s="90" t="str">
        <f t="shared" si="3"/>
        <v/>
      </c>
      <c r="H21" s="91" t="str">
        <f t="shared" si="1"/>
        <v/>
      </c>
      <c r="J21" t="str">
        <f t="shared" si="2"/>
        <v>בדוק ניקוד</v>
      </c>
      <c r="K21" t="str">
        <f>IF(B21="","",IF(ISNA(MATCH(C21,{0,1,2},0)),"BAD","OK"))</f>
        <v/>
      </c>
    </row>
    <row r="22" spans="1:11">
      <c r="A22" s="80">
        <f>סיווג!A30</f>
        <v>17</v>
      </c>
      <c r="B22" s="81" t="str">
        <f>IF(סיווג!B30=0,"",סיווג!B30)</f>
        <v>אינקובטור</v>
      </c>
      <c r="C22" s="69">
        <v>1</v>
      </c>
      <c r="D22" s="69"/>
      <c r="E22" s="272">
        <f t="shared" si="0"/>
        <v>1</v>
      </c>
      <c r="F22" s="88">
        <f>IF(B22="","",סיווג!X30)</f>
        <v>0.25</v>
      </c>
      <c r="G22" s="90">
        <f t="shared" si="3"/>
        <v>0.25</v>
      </c>
      <c r="H22" s="91">
        <f t="shared" si="1"/>
        <v>1.6077170418006433E-2</v>
      </c>
      <c r="J22">
        <f t="shared" si="2"/>
        <v>1</v>
      </c>
      <c r="K22" t="str">
        <f>IF(B22="","",IF(ISNA(MATCH(C22,{0,1,2},0)),"BAD","OK"))</f>
        <v>OK</v>
      </c>
    </row>
    <row r="23" spans="1:11">
      <c r="A23" s="80">
        <f>סיווג!A31</f>
        <v>18</v>
      </c>
      <c r="B23" s="81" t="str">
        <f>IF(סיווג!B31=0,"",סיווג!B31)</f>
        <v>אורנה פורת</v>
      </c>
      <c r="C23" s="69">
        <v>2</v>
      </c>
      <c r="D23" s="69"/>
      <c r="E23" s="272">
        <f t="shared" si="0"/>
        <v>2</v>
      </c>
      <c r="F23" s="88">
        <f>IF(B23="","",סיווג!X31)</f>
        <v>0.6</v>
      </c>
      <c r="G23" s="90">
        <f t="shared" si="3"/>
        <v>1.2</v>
      </c>
      <c r="H23" s="91">
        <f t="shared" si="1"/>
        <v>7.7170418006430874E-2</v>
      </c>
      <c r="J23">
        <f t="shared" si="2"/>
        <v>2</v>
      </c>
      <c r="K23" t="str">
        <f>IF(B23="","",IF(ISNA(MATCH(C23,{0,1,2},0)),"BAD","OK"))</f>
        <v>OK</v>
      </c>
    </row>
    <row r="24" spans="1:11">
      <c r="A24" s="80">
        <f>סיווג!A32</f>
        <v>19</v>
      </c>
      <c r="B24" s="81" t="str">
        <f>IF(סיווג!B32=0,"",סיווג!B32)</f>
        <v>ארצי לנוער</v>
      </c>
      <c r="C24" s="69">
        <v>1</v>
      </c>
      <c r="D24" s="69"/>
      <c r="E24" s="272">
        <f t="shared" si="0"/>
        <v>1</v>
      </c>
      <c r="F24" s="88">
        <f>IF(B24="","",סיווג!X32)</f>
        <v>0.6</v>
      </c>
      <c r="G24" s="90">
        <f t="shared" si="3"/>
        <v>0.6</v>
      </c>
      <c r="H24" s="91">
        <f t="shared" si="1"/>
        <v>3.8585209003215437E-2</v>
      </c>
      <c r="J24">
        <f t="shared" si="2"/>
        <v>1</v>
      </c>
      <c r="K24" t="str">
        <f>IF(B24="","",IF(ISNA(MATCH(C24,{0,1,2},0)),"BAD","OK"))</f>
        <v>OK</v>
      </c>
    </row>
    <row r="25" spans="1:11">
      <c r="A25" s="80">
        <f>סיווג!A33</f>
        <v>20</v>
      </c>
      <c r="B25" s="81" t="str">
        <f>IF(סיווג!B33=0,"",סיווג!B33)</f>
        <v>הקיבוץ</v>
      </c>
      <c r="C25" s="69">
        <v>1</v>
      </c>
      <c r="D25" s="69"/>
      <c r="E25" s="272">
        <f t="shared" si="0"/>
        <v>1</v>
      </c>
      <c r="F25" s="88">
        <f>IF(B25="","",סיווג!X33)</f>
        <v>0.2</v>
      </c>
      <c r="G25" s="90">
        <f t="shared" si="3"/>
        <v>0.2</v>
      </c>
      <c r="H25" s="91">
        <f t="shared" si="1"/>
        <v>1.2861736334405146E-2</v>
      </c>
      <c r="J25">
        <f t="shared" si="2"/>
        <v>1</v>
      </c>
      <c r="K25" t="str">
        <f>IF(B25="","",IF(ISNA(MATCH(C25,{0,1,2},0)),"BAD","OK"))</f>
        <v>OK</v>
      </c>
    </row>
    <row r="26" spans="1:11">
      <c r="A26" s="80">
        <f>סיווג!A34</f>
        <v>21</v>
      </c>
      <c r="B26" s="81" t="str">
        <f>IF(סיווג!B34=0,"",סיווג!B34)</f>
        <v>הקרון</v>
      </c>
      <c r="C26" s="69">
        <v>2</v>
      </c>
      <c r="D26" s="69"/>
      <c r="E26" s="272">
        <f t="shared" si="0"/>
        <v>2</v>
      </c>
      <c r="F26" s="88">
        <f>IF(B26="","",סיווג!X34)</f>
        <v>0.2</v>
      </c>
      <c r="G26" s="90">
        <f t="shared" si="3"/>
        <v>0.4</v>
      </c>
      <c r="H26" s="91">
        <f t="shared" si="1"/>
        <v>2.5723472668810293E-2</v>
      </c>
      <c r="J26">
        <f t="shared" si="2"/>
        <v>2</v>
      </c>
      <c r="K26" t="str">
        <f>IF(B26="","",IF(ISNA(MATCH(C26,{0,1,2},0)),"BAD","OK"))</f>
        <v>OK</v>
      </c>
    </row>
    <row r="27" spans="1:11">
      <c r="A27" s="80">
        <f>סיווג!A35</f>
        <v>22</v>
      </c>
      <c r="B27" s="81" t="str">
        <f>IF(סיווג!B35=0,"",סיווג!B35)</f>
        <v>בית הגפן</v>
      </c>
      <c r="C27" s="69">
        <v>0</v>
      </c>
      <c r="D27" s="69"/>
      <c r="E27" s="272">
        <f t="shared" si="0"/>
        <v>0</v>
      </c>
      <c r="F27" s="88">
        <f>IF(B27="","",סיווג!X35)</f>
        <v>0.2</v>
      </c>
      <c r="G27" s="90">
        <f t="shared" si="3"/>
        <v>0</v>
      </c>
      <c r="H27" s="91">
        <f t="shared" si="1"/>
        <v>0</v>
      </c>
      <c r="J27">
        <f t="shared" si="2"/>
        <v>0</v>
      </c>
      <c r="K27" t="str">
        <f>IF(B27="","",IF(ISNA(MATCH(C27,{0,1,2},0)),"BAD","OK"))</f>
        <v>OK</v>
      </c>
    </row>
    <row r="28" spans="1:11">
      <c r="A28" s="80">
        <f>סיווג!A36</f>
        <v>23</v>
      </c>
      <c r="B28" s="81" t="str">
        <f>IF(סיווג!B36=0,"",סיווג!B36)</f>
        <v>הנפש</v>
      </c>
      <c r="C28" s="69">
        <v>2</v>
      </c>
      <c r="D28" s="69"/>
      <c r="E28" s="272">
        <f t="shared" si="0"/>
        <v>2</v>
      </c>
      <c r="F28" s="88">
        <f>IF(B28="","",סיווג!X36)</f>
        <v>0.2</v>
      </c>
      <c r="G28" s="90">
        <f t="shared" si="3"/>
        <v>0.4</v>
      </c>
      <c r="H28" s="91">
        <f t="shared" si="1"/>
        <v>2.5723472668810293E-2</v>
      </c>
      <c r="J28">
        <f t="shared" si="2"/>
        <v>2</v>
      </c>
      <c r="K28" t="str">
        <f>IF(B28="","",IF(ISNA(MATCH(C28,{0,1,2},0)),"BAD","OK"))</f>
        <v>OK</v>
      </c>
    </row>
    <row r="29" spans="1:11">
      <c r="A29" s="80">
        <f>סיווג!A37</f>
        <v>24</v>
      </c>
      <c r="B29" s="81" t="str">
        <f>IF(סיווג!B37=0,"",סיווג!B37)</f>
        <v>השעה</v>
      </c>
      <c r="C29" s="69">
        <v>0</v>
      </c>
      <c r="D29" s="69"/>
      <c r="E29" s="272">
        <f t="shared" si="0"/>
        <v>0</v>
      </c>
      <c r="F29" s="88">
        <f>IF(B29="","",סיווג!X37)</f>
        <v>0.6</v>
      </c>
      <c r="G29" s="90">
        <f t="shared" si="3"/>
        <v>0</v>
      </c>
      <c r="H29" s="91">
        <f t="shared" si="1"/>
        <v>0</v>
      </c>
      <c r="J29">
        <f t="shared" si="2"/>
        <v>0</v>
      </c>
      <c r="K29" t="str">
        <f>IF(B29="","",IF(ISNA(MATCH(C29,{0,1,2},0)),"BAD","OK"))</f>
        <v>OK</v>
      </c>
    </row>
    <row r="30" spans="1:11">
      <c r="A30" s="80">
        <f>סיווג!A38</f>
        <v>25</v>
      </c>
      <c r="B30" s="81" t="str">
        <f>IF(סיווג!B38=0,"",סיווג!B38)</f>
        <v>עדי</v>
      </c>
      <c r="C30" s="69">
        <v>0</v>
      </c>
      <c r="D30" s="69"/>
      <c r="E30" s="272">
        <f t="shared" si="0"/>
        <v>0</v>
      </c>
      <c r="F30" s="88">
        <f>IF(B30="","",סיווג!X38)</f>
        <v>0.2</v>
      </c>
      <c r="G30" s="90">
        <f t="shared" si="3"/>
        <v>0</v>
      </c>
      <c r="H30" s="91">
        <f t="shared" si="1"/>
        <v>0</v>
      </c>
      <c r="J30">
        <f t="shared" si="2"/>
        <v>0</v>
      </c>
      <c r="K30" t="str">
        <f>IF(B30="","",IF(ISNA(MATCH(C30,{0,1,2},0)),"BAD","OK"))</f>
        <v>OK</v>
      </c>
    </row>
    <row r="31" spans="1:11">
      <c r="A31" s="80">
        <f>סיווג!A39</f>
        <v>26</v>
      </c>
      <c r="B31" s="81" t="str">
        <f>IF(סיווג!B39=0,"",סיווג!B39)</f>
        <v>מדייטק</v>
      </c>
      <c r="C31" s="69">
        <v>1</v>
      </c>
      <c r="D31" s="69"/>
      <c r="E31" s="272">
        <f t="shared" si="0"/>
        <v>1</v>
      </c>
      <c r="F31" s="88">
        <f>IF(B31="","",סיווג!X39)</f>
        <v>0.4</v>
      </c>
      <c r="G31" s="90">
        <f t="shared" si="3"/>
        <v>0.4</v>
      </c>
      <c r="H31" s="91">
        <f t="shared" si="1"/>
        <v>2.5723472668810293E-2</v>
      </c>
      <c r="J31">
        <f t="shared" si="2"/>
        <v>1</v>
      </c>
      <c r="K31" t="str">
        <f>IF(B31="","",IF(ISNA(MATCH(C31,{0,1,2},0)),"BAD","OK"))</f>
        <v>OK</v>
      </c>
    </row>
    <row r="32" spans="1:11">
      <c r="A32" s="80">
        <f>סיווג!A40</f>
        <v>27</v>
      </c>
      <c r="B32" s="81" t="str">
        <f>IF(סיווג!B40=0,"",סיווג!B40)</f>
        <v>חני</v>
      </c>
      <c r="C32" s="69">
        <v>0</v>
      </c>
      <c r="D32" s="69"/>
      <c r="E32" s="272">
        <f t="shared" si="0"/>
        <v>0</v>
      </c>
      <c r="F32" s="88">
        <f>IF(B32="","",סיווג!X40)</f>
        <v>0.2</v>
      </c>
      <c r="G32" s="90">
        <f t="shared" si="3"/>
        <v>0</v>
      </c>
      <c r="H32" s="91">
        <f t="shared" si="1"/>
        <v>0</v>
      </c>
      <c r="J32">
        <f t="shared" si="2"/>
        <v>0</v>
      </c>
      <c r="K32" t="str">
        <f>IF(B32="","",IF(ISNA(MATCH(C32,{0,1,2},0)),"BAD","OK"))</f>
        <v>OK</v>
      </c>
    </row>
    <row r="33" spans="1:11">
      <c r="A33" s="80">
        <f>סיווג!A41</f>
        <v>28</v>
      </c>
      <c r="B33" s="81" t="str">
        <f>IF(סיווג!B41=0,"",סיווג!B41)</f>
        <v xml:space="preserve">גשן </v>
      </c>
      <c r="C33" s="69">
        <v>1</v>
      </c>
      <c r="D33" s="69"/>
      <c r="E33" s="272">
        <f t="shared" si="0"/>
        <v>1</v>
      </c>
      <c r="F33" s="88">
        <f>IF(B33="","",סיווג!X41)</f>
        <v>0.2</v>
      </c>
      <c r="G33" s="90">
        <f t="shared" si="3"/>
        <v>0.2</v>
      </c>
      <c r="H33" s="91">
        <f t="shared" si="1"/>
        <v>1.2861736334405146E-2</v>
      </c>
      <c r="J33">
        <f t="shared" si="2"/>
        <v>1</v>
      </c>
      <c r="K33" t="str">
        <f>IF(B33="","",IF(ISNA(MATCH(C33,{0,1,2},0)),"BAD","OK"))</f>
        <v>OK</v>
      </c>
    </row>
    <row r="34" spans="1:11">
      <c r="A34" s="80">
        <f>סיווג!A42</f>
        <v>29</v>
      </c>
      <c r="B34" s="81" t="str">
        <f>IF(סיווג!B42=0,"",סיווג!B42)</f>
        <v>תיאטרון העברי</v>
      </c>
      <c r="C34" s="69">
        <v>1</v>
      </c>
      <c r="D34" s="69"/>
      <c r="E34" s="272">
        <f t="shared" si="0"/>
        <v>1</v>
      </c>
      <c r="F34" s="88">
        <f>IF(B34="","",סיווג!X42)</f>
        <v>0.25</v>
      </c>
      <c r="G34" s="90">
        <f t="shared" si="3"/>
        <v>0.25</v>
      </c>
      <c r="H34" s="91">
        <f t="shared" si="1"/>
        <v>1.6077170418006433E-2</v>
      </c>
      <c r="J34">
        <f t="shared" si="2"/>
        <v>1</v>
      </c>
      <c r="K34" t="str">
        <f>IF(B34="","",IF(ISNA(MATCH(C34,{0,1,2},0)),"BAD","OK"))</f>
        <v>OK</v>
      </c>
    </row>
    <row r="35" spans="1:11">
      <c r="A35" s="80">
        <f>סיווג!A43</f>
        <v>30</v>
      </c>
      <c r="B35" s="81" t="str">
        <f>IF(סיווג!B43=0,"",סיווג!B43)</f>
        <v>גליון ריק 2</v>
      </c>
      <c r="C35" s="69"/>
      <c r="D35" s="69"/>
      <c r="E35" s="272">
        <f t="shared" si="0"/>
        <v>0</v>
      </c>
      <c r="F35" s="88">
        <f>IF(B35="","",סיווג!X43)</f>
        <v>0</v>
      </c>
      <c r="G35" s="90">
        <f t="shared" si="3"/>
        <v>0</v>
      </c>
      <c r="H35" s="91">
        <f t="shared" si="1"/>
        <v>0</v>
      </c>
      <c r="J35">
        <f t="shared" si="2"/>
        <v>0</v>
      </c>
      <c r="K35" t="str">
        <f>IF(B35="","",IF(ISNA(MATCH(C35,{0,1,2},0)),"BAD","OK"))</f>
        <v>OK</v>
      </c>
    </row>
    <row r="36" spans="1:11">
      <c r="A36" s="80">
        <f>סיווג!A44</f>
        <v>31</v>
      </c>
      <c r="B36" s="81" t="str">
        <f>IF(סיווג!B44=0,"",סיווג!B44)</f>
        <v>גליון ריק 3</v>
      </c>
      <c r="C36" s="69"/>
      <c r="D36" s="69"/>
      <c r="E36" s="272">
        <f t="shared" si="0"/>
        <v>0</v>
      </c>
      <c r="F36" s="88">
        <f>IF(B36="","",סיווג!X44)</f>
        <v>0</v>
      </c>
      <c r="G36" s="90">
        <f t="shared" si="3"/>
        <v>0</v>
      </c>
      <c r="H36" s="91">
        <f t="shared" si="1"/>
        <v>0</v>
      </c>
      <c r="J36">
        <f t="shared" si="2"/>
        <v>0</v>
      </c>
      <c r="K36" t="str">
        <f>IF(B36="","",IF(ISNA(MATCH(C36,{0,1,2},0)),"BAD","OK"))</f>
        <v>OK</v>
      </c>
    </row>
    <row r="37" spans="1:11">
      <c r="A37" s="80">
        <f>סיווג!A45</f>
        <v>32</v>
      </c>
      <c r="B37" s="81" t="str">
        <f>IF(סיווג!B45=0,"",סיווג!B45)</f>
        <v/>
      </c>
      <c r="C37" s="69"/>
      <c r="D37" s="69"/>
      <c r="E37" s="272" t="str">
        <f t="shared" si="0"/>
        <v/>
      </c>
      <c r="F37" s="88" t="str">
        <f>IF(B37="","",סיווג!X45)</f>
        <v/>
      </c>
      <c r="G37" s="90" t="str">
        <f t="shared" si="3"/>
        <v/>
      </c>
      <c r="H37" s="91" t="str">
        <f t="shared" si="1"/>
        <v/>
      </c>
      <c r="J37" t="str">
        <f t="shared" si="2"/>
        <v>בדוק ניקוד</v>
      </c>
      <c r="K37" t="str">
        <f>IF(B37="","",IF(ISNA(MATCH(C37,{0,1,2},0)),"BAD","OK"))</f>
        <v/>
      </c>
    </row>
    <row r="38" spans="1:11" ht="13.5" thickBot="1">
      <c r="A38" s="82">
        <f>סיווג!A46</f>
        <v>33</v>
      </c>
      <c r="B38" s="83" t="str">
        <f>IF(סיווג!B46=0,"",סיווג!B46)</f>
        <v/>
      </c>
      <c r="C38" s="69"/>
      <c r="D38" s="274"/>
      <c r="E38" s="273" t="str">
        <f t="shared" si="0"/>
        <v/>
      </c>
      <c r="F38" s="89" t="str">
        <f>IF(B38="","",סיווג!X46)</f>
        <v/>
      </c>
      <c r="G38" s="90" t="str">
        <f t="shared" si="3"/>
        <v/>
      </c>
      <c r="H38" s="91" t="str">
        <f t="shared" si="1"/>
        <v/>
      </c>
      <c r="J38" t="str">
        <f t="shared" si="2"/>
        <v>בדוק ניקוד</v>
      </c>
      <c r="K38" t="str">
        <f>IF(B38="","",IF(ISNA(MATCH(C38,{0,1,2},0)),"BAD","OK"))</f>
        <v/>
      </c>
    </row>
    <row r="39" spans="1:11" ht="14.25" thickTop="1" thickBot="1">
      <c r="A39" s="618" t="s">
        <v>26</v>
      </c>
      <c r="B39" s="650"/>
      <c r="C39" s="650"/>
      <c r="D39" s="650"/>
      <c r="E39" s="650"/>
      <c r="F39" s="650"/>
      <c r="G39" s="6">
        <f>SUM(G6:G38)</f>
        <v>15.549999999999999</v>
      </c>
      <c r="H39" s="7">
        <f>SUM(H6:H38)</f>
        <v>0.99999999999999989</v>
      </c>
    </row>
    <row r="40" spans="1:11" ht="13.5" thickTop="1"/>
  </sheetData>
  <sheetProtection password="CC01" sheet="1" objects="1" scenarios="1" formatColumns="0" formatRows="0"/>
  <mergeCells count="10">
    <mergeCell ref="A3:H3"/>
    <mergeCell ref="A39:F39"/>
    <mergeCell ref="B1:C1"/>
    <mergeCell ref="B2:C2"/>
    <mergeCell ref="C4:E4"/>
    <mergeCell ref="A4:A5"/>
    <mergeCell ref="B4:B5"/>
    <mergeCell ref="F4:F5"/>
    <mergeCell ref="G4:G5"/>
    <mergeCell ref="H4:H5"/>
  </mergeCells>
  <phoneticPr fontId="5" type="noConversion"/>
  <conditionalFormatting sqref="C36:C38">
    <cfRule type="cellIs" dxfId="93" priority="4" stopIfTrue="1" operator="notEqual">
      <formula>J36</formula>
    </cfRule>
  </conditionalFormatting>
  <conditionalFormatting sqref="E6:E38">
    <cfRule type="expression" dxfId="92" priority="2" stopIfTrue="1">
      <formula>IF(E6&gt;C6,1,0)</formula>
    </cfRule>
  </conditionalFormatting>
  <conditionalFormatting sqref="C6:C35">
    <cfRule type="cellIs" dxfId="91" priority="1" stopIfTrue="1" operator="notEqual">
      <formula>J6</formula>
    </cfRule>
  </conditionalFormatting>
  <dataValidations count="1">
    <dataValidation type="list" errorStyle="warning" allowBlank="1" showInputMessage="1" showErrorMessage="1" errorTitle="טעות בהזנה" error="יש להזין ניקוד מתאים 0, 1 או 2" sqref="C6:C38">
      <formula1>"0,1,2"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46"/>
    <pageSetUpPr fitToPage="1"/>
  </sheetPr>
  <dimension ref="A1:K40"/>
  <sheetViews>
    <sheetView rightToLeft="1" view="pageBreakPreview" zoomScale="80" zoomScaleSheetLayoutView="80" workbookViewId="0">
      <selection activeCell="C8" sqref="C8"/>
    </sheetView>
  </sheetViews>
  <sheetFormatPr defaultRowHeight="12.75"/>
  <cols>
    <col min="1" max="1" width="10" bestFit="1" customWidth="1"/>
    <col min="2" max="2" width="26.5703125" customWidth="1"/>
    <col min="3" max="3" width="19.7109375" customWidth="1"/>
    <col min="4" max="4" width="16.140625" hidden="1" customWidth="1"/>
    <col min="5" max="5" width="16.7109375" hidden="1" customWidth="1"/>
    <col min="6" max="6" width="15.5703125" bestFit="1" customWidth="1"/>
    <col min="7" max="7" width="14.42578125" customWidth="1"/>
    <col min="8" max="8" width="12.28515625" customWidth="1"/>
    <col min="10" max="10" width="2.42578125" hidden="1" customWidth="1"/>
    <col min="11" max="11" width="4.28515625" hidden="1" customWidth="1"/>
  </cols>
  <sheetData>
    <row r="1" spans="1:11" ht="17.25" thickTop="1" thickBot="1">
      <c r="B1" s="620" t="str">
        <f>פרמטרים!B1</f>
        <v>שנת התקציב</v>
      </c>
      <c r="C1" s="621"/>
      <c r="F1" s="152">
        <f>פרמטרים!D1</f>
        <v>2018</v>
      </c>
    </row>
    <row r="2" spans="1:11" ht="16.5" thickBot="1">
      <c r="B2" s="622" t="str">
        <f>פרמטרים!B2</f>
        <v>תקציב</v>
      </c>
      <c r="C2" s="623"/>
      <c r="F2" s="140">
        <f>פרמטרים!D2</f>
        <v>98822015</v>
      </c>
    </row>
    <row r="3" spans="1:11" ht="17.25" thickTop="1" thickBot="1">
      <c r="A3" s="615" t="s">
        <v>84</v>
      </c>
      <c r="B3" s="616"/>
      <c r="C3" s="616"/>
      <c r="D3" s="616"/>
      <c r="E3" s="616"/>
      <c r="F3" s="616"/>
      <c r="G3" s="616"/>
      <c r="H3" s="617"/>
    </row>
    <row r="4" spans="1:11" ht="27.75" customHeight="1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209</v>
      </c>
      <c r="D4" s="628"/>
      <c r="E4" s="629"/>
      <c r="F4" s="626" t="s">
        <v>150</v>
      </c>
      <c r="G4" s="626" t="s">
        <v>19</v>
      </c>
      <c r="H4" s="630" t="s">
        <v>154</v>
      </c>
    </row>
    <row r="5" spans="1:11" ht="13.5" thickBot="1">
      <c r="A5" s="625"/>
      <c r="B5" s="614"/>
      <c r="C5" s="269" t="str">
        <f>סיווג!J13</f>
        <v xml:space="preserve"> שנת 2017</v>
      </c>
      <c r="D5" s="269" t="e">
        <f>סיווג!I13</f>
        <v>#VALUE!</v>
      </c>
      <c r="E5" s="269" t="str">
        <f>סיווג!J13</f>
        <v xml:space="preserve"> שנת 2017</v>
      </c>
      <c r="F5" s="614"/>
      <c r="G5" s="614"/>
      <c r="H5" s="631"/>
    </row>
    <row r="6" spans="1:11">
      <c r="A6" s="78">
        <f>סיווג!A14</f>
        <v>1</v>
      </c>
      <c r="B6" s="79" t="str">
        <f>IF(סיווג!B14=0,"",סיווג!B14)</f>
        <v>הבימה</v>
      </c>
      <c r="C6" s="69">
        <v>1.5</v>
      </c>
      <c r="D6" s="69"/>
      <c r="E6" s="272">
        <f t="shared" ref="E6:E38" si="0">IF($B6="","",MAX(C6:D6))</f>
        <v>1.5</v>
      </c>
      <c r="F6" s="87">
        <f>IF(B6="","",סיווג!X14)</f>
        <v>1</v>
      </c>
      <c r="G6" s="90">
        <f>IF(OR(ISERR(1*F6),K6="BAD"),"",F6*C6)</f>
        <v>1.5</v>
      </c>
      <c r="H6" s="91">
        <f t="shared" ref="H6:H38" si="1">IF(ISERR(G6/$G$39),"",G6/$G$39)</f>
        <v>0.11299435028248588</v>
      </c>
      <c r="J6">
        <f t="shared" ref="J6:J38" si="2">IF(K6="OK",C6,"בדוק ניקוד")</f>
        <v>1.5</v>
      </c>
      <c r="K6" t="str">
        <f>IF(B6="","",IF(ISNA(MATCH(C6,{0,1,2,1.5},0)),"BAD","OK"))</f>
        <v>OK</v>
      </c>
    </row>
    <row r="7" spans="1:11">
      <c r="A7" s="80">
        <f>סיווג!A15</f>
        <v>2</v>
      </c>
      <c r="B7" s="81" t="str">
        <f>IF(סיווג!B15=0,"",סיווג!B15)</f>
        <v>הקאמרי</v>
      </c>
      <c r="C7" s="69">
        <v>1.5</v>
      </c>
      <c r="D7" s="69"/>
      <c r="E7" s="272">
        <f t="shared" si="0"/>
        <v>1.5</v>
      </c>
      <c r="F7" s="88">
        <f>IF(B7="","",סיווג!X15)</f>
        <v>1</v>
      </c>
      <c r="G7" s="90">
        <f>IF(OR(ISERR(1*F7),K7="BAD"),"",F7*C7)</f>
        <v>1.5</v>
      </c>
      <c r="H7" s="91">
        <f t="shared" si="1"/>
        <v>0.11299435028248588</v>
      </c>
      <c r="J7">
        <f t="shared" si="2"/>
        <v>1.5</v>
      </c>
      <c r="K7" t="str">
        <f>IF(B7="","",IF(ISNA(MATCH(C7,{0,1,2,1.5},0)),"BAD","OK"))</f>
        <v>OK</v>
      </c>
    </row>
    <row r="8" spans="1:11">
      <c r="A8" s="80">
        <f>סיווג!A16</f>
        <v>3</v>
      </c>
      <c r="B8" s="81" t="str">
        <f>IF(סיווג!B16=0,"",סיווג!B16)</f>
        <v>בית לסין</v>
      </c>
      <c r="C8" s="69">
        <v>1</v>
      </c>
      <c r="D8" s="69"/>
      <c r="E8" s="272">
        <f t="shared" si="0"/>
        <v>1</v>
      </c>
      <c r="F8" s="88">
        <f>IF(B8="","",סיווג!X16)</f>
        <v>1</v>
      </c>
      <c r="G8" s="90">
        <f t="shared" ref="G8:G38" si="3">IF(OR(ISERR(1*F8),K8="BAD"),"",F8*C8)</f>
        <v>1</v>
      </c>
      <c r="H8" s="91">
        <f t="shared" si="1"/>
        <v>7.5329566854990579E-2</v>
      </c>
      <c r="J8">
        <f t="shared" si="2"/>
        <v>1</v>
      </c>
      <c r="K8" t="str">
        <f>IF(B8="","",IF(ISNA(MATCH(C8,{0,1,2,1.5},0)),"BAD","OK"))</f>
        <v>OK</v>
      </c>
    </row>
    <row r="9" spans="1:11">
      <c r="A9" s="80">
        <f>סיווג!A17</f>
        <v>4</v>
      </c>
      <c r="B9" s="81" t="str">
        <f>IF(סיווג!B17=0,"",סיווג!B17)</f>
        <v>חיפה</v>
      </c>
      <c r="C9" s="69">
        <v>1.5</v>
      </c>
      <c r="D9" s="69"/>
      <c r="E9" s="272">
        <f t="shared" si="0"/>
        <v>1.5</v>
      </c>
      <c r="F9" s="88">
        <f>IF(B9="","",סיווג!X17)</f>
        <v>0.8</v>
      </c>
      <c r="G9" s="90">
        <f t="shared" si="3"/>
        <v>1.2000000000000002</v>
      </c>
      <c r="H9" s="91">
        <f t="shared" si="1"/>
        <v>9.0395480225988714E-2</v>
      </c>
      <c r="J9">
        <f t="shared" si="2"/>
        <v>1.5</v>
      </c>
      <c r="K9" t="str">
        <f>IF(B9="","",IF(ISNA(MATCH(C9,{0,1,2,1.5},0)),"BAD","OK"))</f>
        <v>OK</v>
      </c>
    </row>
    <row r="10" spans="1:11">
      <c r="A10" s="80">
        <f>סיווג!A18</f>
        <v>5</v>
      </c>
      <c r="B10" s="81" t="str">
        <f>IF(סיווג!B18=0,"",סיווג!B18)</f>
        <v>באר שבע</v>
      </c>
      <c r="C10" s="69">
        <v>1.5</v>
      </c>
      <c r="D10" s="69"/>
      <c r="E10" s="272">
        <f t="shared" si="0"/>
        <v>1.5</v>
      </c>
      <c r="F10" s="88">
        <f>IF(B10="","",סיווג!X18)</f>
        <v>0.8</v>
      </c>
      <c r="G10" s="90">
        <f t="shared" si="3"/>
        <v>1.2000000000000002</v>
      </c>
      <c r="H10" s="91">
        <f t="shared" si="1"/>
        <v>9.0395480225988714E-2</v>
      </c>
      <c r="J10">
        <f t="shared" si="2"/>
        <v>1.5</v>
      </c>
      <c r="K10" t="str">
        <f>IF(B10="","",IF(ISNA(MATCH(C10,{0,1,2,1.5},0)),"BAD","OK"))</f>
        <v>OK</v>
      </c>
    </row>
    <row r="11" spans="1:11">
      <c r="A11" s="80">
        <f>סיווג!A19</f>
        <v>6</v>
      </c>
      <c r="B11" s="81" t="str">
        <f>IF(סיווג!B19=0,"",סיווג!B19)</f>
        <v>גשר</v>
      </c>
      <c r="C11" s="69">
        <v>1</v>
      </c>
      <c r="D11" s="69"/>
      <c r="E11" s="272">
        <f t="shared" si="0"/>
        <v>1</v>
      </c>
      <c r="F11" s="88">
        <f>IF(B11="","",סיווג!X19)</f>
        <v>0.8</v>
      </c>
      <c r="G11" s="90">
        <f t="shared" si="3"/>
        <v>0.8</v>
      </c>
      <c r="H11" s="91">
        <f t="shared" si="1"/>
        <v>6.0263653483992471E-2</v>
      </c>
      <c r="J11">
        <f t="shared" si="2"/>
        <v>1</v>
      </c>
      <c r="K11" t="str">
        <f>IF(B11="","",IF(ISNA(MATCH(C11,{0,1,2,1.5},0)),"BAD","OK"))</f>
        <v>OK</v>
      </c>
    </row>
    <row r="12" spans="1:11">
      <c r="A12" s="80">
        <f>סיווג!A20</f>
        <v>7</v>
      </c>
      <c r="B12" s="81" t="str">
        <f>IF(סיווג!B20=0,"",סיווג!B20)</f>
        <v>החאן</v>
      </c>
      <c r="C12" s="69">
        <v>2</v>
      </c>
      <c r="D12" s="69"/>
      <c r="E12" s="272">
        <f t="shared" si="0"/>
        <v>2</v>
      </c>
      <c r="F12" s="88">
        <f>IF(B12="","",סיווג!X20)</f>
        <v>0.8</v>
      </c>
      <c r="G12" s="90">
        <f t="shared" si="3"/>
        <v>1.6</v>
      </c>
      <c r="H12" s="91">
        <f t="shared" si="1"/>
        <v>0.12052730696798494</v>
      </c>
      <c r="J12">
        <f t="shared" si="2"/>
        <v>2</v>
      </c>
      <c r="K12" t="str">
        <f>IF(B12="","",IF(ISNA(MATCH(C12,{0,1,2,1.5},0)),"BAD","OK"))</f>
        <v>OK</v>
      </c>
    </row>
    <row r="13" spans="1:11">
      <c r="A13" s="80">
        <f>סיווג!A21</f>
        <v>8</v>
      </c>
      <c r="B13" s="81" t="str">
        <f>IF(סיווג!B21=0,"",סיווג!B21)</f>
        <v>היידישפיל</v>
      </c>
      <c r="C13" s="69">
        <v>0</v>
      </c>
      <c r="D13" s="69"/>
      <c r="E13" s="272">
        <f t="shared" si="0"/>
        <v>0</v>
      </c>
      <c r="F13" s="88">
        <f>IF(B13="","",סיווג!X21)</f>
        <v>0.8</v>
      </c>
      <c r="G13" s="90">
        <f t="shared" si="3"/>
        <v>0</v>
      </c>
      <c r="H13" s="91">
        <f t="shared" si="1"/>
        <v>0</v>
      </c>
      <c r="J13">
        <f t="shared" si="2"/>
        <v>0</v>
      </c>
      <c r="K13" t="str">
        <f>IF(B13="","",IF(ISNA(MATCH(C13,{0,1,2,1.5},0)),"BAD","OK"))</f>
        <v>OK</v>
      </c>
    </row>
    <row r="14" spans="1:11">
      <c r="A14" s="80">
        <f>סיווג!A22</f>
        <v>9</v>
      </c>
      <c r="B14" s="81" t="str">
        <f>IF(סיווג!B22=0,"",סיווג!B22)</f>
        <v>תיאטרון אלמידאן</v>
      </c>
      <c r="C14" s="69">
        <v>0</v>
      </c>
      <c r="D14" s="69"/>
      <c r="E14" s="272">
        <f t="shared" si="0"/>
        <v>0</v>
      </c>
      <c r="F14" s="88">
        <f>IF(B14="","",סיווג!X22)</f>
        <v>0</v>
      </c>
      <c r="G14" s="90">
        <f t="shared" si="3"/>
        <v>0</v>
      </c>
      <c r="H14" s="91">
        <f t="shared" si="1"/>
        <v>0</v>
      </c>
      <c r="J14">
        <f t="shared" si="2"/>
        <v>0</v>
      </c>
      <c r="K14" t="str">
        <f>IF(B14="","",IF(ISNA(MATCH(C14,{0,1,2,1.5},0)),"BAD","OK"))</f>
        <v>OK</v>
      </c>
    </row>
    <row r="15" spans="1:11">
      <c r="A15" s="80">
        <f>סיווג!A23</f>
        <v>10</v>
      </c>
      <c r="B15" s="81" t="str">
        <f>IF(סיווג!B23=0,"",סיווג!B23)</f>
        <v>הזירה הבין תחומית</v>
      </c>
      <c r="C15" s="69">
        <v>0</v>
      </c>
      <c r="D15" s="69"/>
      <c r="E15" s="272">
        <f t="shared" si="0"/>
        <v>0</v>
      </c>
      <c r="F15" s="88">
        <f>IF(B15="","",סיווג!X23)</f>
        <v>0.25</v>
      </c>
      <c r="G15" s="90">
        <f t="shared" si="3"/>
        <v>0</v>
      </c>
      <c r="H15" s="91">
        <f t="shared" si="1"/>
        <v>0</v>
      </c>
      <c r="J15">
        <f t="shared" si="2"/>
        <v>0</v>
      </c>
      <c r="K15" t="str">
        <f>IF(B15="","",IF(ISNA(MATCH(C15,{0,1,2,1.5},0)),"BAD","OK"))</f>
        <v>OK</v>
      </c>
    </row>
    <row r="16" spans="1:11">
      <c r="A16" s="80">
        <f>סיווג!A24</f>
        <v>11</v>
      </c>
      <c r="B16" s="81" t="str">
        <f>IF(סיווג!B24=0,"",סיווג!B24)</f>
        <v>אספקלריא</v>
      </c>
      <c r="C16" s="69">
        <v>1.5</v>
      </c>
      <c r="D16" s="69"/>
      <c r="E16" s="272">
        <f t="shared" si="0"/>
        <v>1.5</v>
      </c>
      <c r="F16" s="88">
        <f>IF(B16="","",סיווג!X24)</f>
        <v>0.25</v>
      </c>
      <c r="G16" s="90">
        <f t="shared" si="3"/>
        <v>0.375</v>
      </c>
      <c r="H16" s="91">
        <f t="shared" si="1"/>
        <v>2.8248587570621469E-2</v>
      </c>
      <c r="J16">
        <f t="shared" si="2"/>
        <v>1.5</v>
      </c>
      <c r="K16" t="str">
        <f>IF(B16="","",IF(ISNA(MATCH(C16,{0,1,2,1.5},0)),"BAD","OK"))</f>
        <v>OK</v>
      </c>
    </row>
    <row r="17" spans="1:11">
      <c r="A17" s="80">
        <f>סיווג!A25</f>
        <v>12</v>
      </c>
      <c r="B17" s="81" t="str">
        <f>IF(סיווג!B25=0,"",סיווג!B25)</f>
        <v/>
      </c>
      <c r="C17" s="69"/>
      <c r="D17" s="69"/>
      <c r="E17" s="272" t="str">
        <f t="shared" si="0"/>
        <v/>
      </c>
      <c r="F17" s="88" t="str">
        <f>IF(B17="","",סיווג!X25)</f>
        <v/>
      </c>
      <c r="G17" s="90" t="str">
        <f t="shared" si="3"/>
        <v/>
      </c>
      <c r="H17" s="91" t="str">
        <f t="shared" si="1"/>
        <v/>
      </c>
      <c r="J17" t="str">
        <f t="shared" si="2"/>
        <v>בדוק ניקוד</v>
      </c>
      <c r="K17" t="str">
        <f>IF(B17="","",IF(ISNA(MATCH(C17,{0,1,2,1.5},0)),"BAD","OK"))</f>
        <v/>
      </c>
    </row>
    <row r="18" spans="1:11">
      <c r="A18" s="80">
        <f>סיווג!A26</f>
        <v>13</v>
      </c>
      <c r="B18" s="81" t="str">
        <f>IF(סיווג!B26=0,"",סיווג!B26)</f>
        <v>עכו</v>
      </c>
      <c r="C18" s="69">
        <v>0</v>
      </c>
      <c r="D18" s="69"/>
      <c r="E18" s="272">
        <f t="shared" si="0"/>
        <v>0</v>
      </c>
      <c r="F18" s="88">
        <f>IF(B18="","",סיווג!X26)</f>
        <v>0.25</v>
      </c>
      <c r="G18" s="90">
        <f t="shared" si="3"/>
        <v>0</v>
      </c>
      <c r="H18" s="91">
        <f t="shared" si="1"/>
        <v>0</v>
      </c>
      <c r="J18">
        <f t="shared" si="2"/>
        <v>0</v>
      </c>
      <c r="K18" t="str">
        <f>IF(B18="","",IF(ISNA(MATCH(C18,{0,1,2,1.5},0)),"BAD","OK"))</f>
        <v>OK</v>
      </c>
    </row>
    <row r="19" spans="1:11">
      <c r="A19" s="80">
        <f>סיווג!A27</f>
        <v>14</v>
      </c>
      <c r="B19" s="81" t="str">
        <f>IF(סיווג!B27=0,"",סיווג!B27)</f>
        <v>הספרייה</v>
      </c>
      <c r="C19" s="69">
        <v>1.5</v>
      </c>
      <c r="D19" s="69"/>
      <c r="E19" s="272">
        <f t="shared" si="0"/>
        <v>1.5</v>
      </c>
      <c r="F19" s="88">
        <f>IF(B19="","",סיווג!X27)</f>
        <v>0.25</v>
      </c>
      <c r="G19" s="90">
        <f t="shared" si="3"/>
        <v>0.375</v>
      </c>
      <c r="H19" s="91">
        <f t="shared" si="1"/>
        <v>2.8248587570621469E-2</v>
      </c>
      <c r="J19">
        <f t="shared" si="2"/>
        <v>1.5</v>
      </c>
      <c r="K19" t="str">
        <f>IF(B19="","",IF(ISNA(MATCH(C19,{0,1,2,1.5},0)),"BAD","OK"))</f>
        <v>OK</v>
      </c>
    </row>
    <row r="20" spans="1:11">
      <c r="A20" s="80">
        <f>סיווג!A28</f>
        <v>15</v>
      </c>
      <c r="B20" s="81" t="str">
        <f>IF(סיווג!B28=0,"",סיווג!B28)</f>
        <v>יפו</v>
      </c>
      <c r="C20" s="69">
        <v>1.5</v>
      </c>
      <c r="D20" s="69"/>
      <c r="E20" s="272">
        <f t="shared" si="0"/>
        <v>1.5</v>
      </c>
      <c r="F20" s="88">
        <f>IF(B20="","",סיווג!X28)</f>
        <v>0.25</v>
      </c>
      <c r="G20" s="90">
        <f t="shared" si="3"/>
        <v>0.375</v>
      </c>
      <c r="H20" s="91">
        <f t="shared" si="1"/>
        <v>2.8248587570621469E-2</v>
      </c>
      <c r="J20">
        <f t="shared" si="2"/>
        <v>1.5</v>
      </c>
      <c r="K20" t="str">
        <f>IF(B20="","",IF(ISNA(MATCH(C20,{0,1,2,1.5},0)),"BAD","OK"))</f>
        <v>OK</v>
      </c>
    </row>
    <row r="21" spans="1:11">
      <c r="A21" s="80">
        <f>סיווג!A29</f>
        <v>16</v>
      </c>
      <c r="B21" s="81" t="str">
        <f>IF(סיווג!B29=0,"",סיווג!B29)</f>
        <v/>
      </c>
      <c r="C21" s="69"/>
      <c r="D21" s="69"/>
      <c r="E21" s="272" t="str">
        <f t="shared" si="0"/>
        <v/>
      </c>
      <c r="F21" s="88" t="str">
        <f>IF(B21="","",סיווג!X29)</f>
        <v/>
      </c>
      <c r="G21" s="90" t="str">
        <f t="shared" si="3"/>
        <v/>
      </c>
      <c r="H21" s="91" t="str">
        <f t="shared" si="1"/>
        <v/>
      </c>
      <c r="J21" t="str">
        <f t="shared" si="2"/>
        <v>בדוק ניקוד</v>
      </c>
      <c r="K21" t="str">
        <f>IF(B21="","",IF(ISNA(MATCH(C21,{0,1,2,1.5},0)),"BAD","OK"))</f>
        <v/>
      </c>
    </row>
    <row r="22" spans="1:11">
      <c r="A22" s="80">
        <f>סיווג!A30</f>
        <v>17</v>
      </c>
      <c r="B22" s="81" t="str">
        <f>IF(סיווג!B30=0,"",סיווג!B30)</f>
        <v>אינקובטור</v>
      </c>
      <c r="C22" s="69">
        <v>2</v>
      </c>
      <c r="D22" s="69"/>
      <c r="E22" s="272">
        <f t="shared" si="0"/>
        <v>2</v>
      </c>
      <c r="F22" s="88">
        <f>IF(B22="","",סיווג!X30)</f>
        <v>0.25</v>
      </c>
      <c r="G22" s="90">
        <f t="shared" si="3"/>
        <v>0.5</v>
      </c>
      <c r="H22" s="91">
        <f t="shared" si="1"/>
        <v>3.7664783427495289E-2</v>
      </c>
      <c r="J22">
        <f t="shared" si="2"/>
        <v>2</v>
      </c>
      <c r="K22" t="str">
        <f>IF(B22="","",IF(ISNA(MATCH(C22,{0,1,2,1.5},0)),"BAD","OK"))</f>
        <v>OK</v>
      </c>
    </row>
    <row r="23" spans="1:11">
      <c r="A23" s="80">
        <f>סיווג!A31</f>
        <v>18</v>
      </c>
      <c r="B23" s="81" t="str">
        <f>IF(סיווג!B31=0,"",סיווג!B31)</f>
        <v>אורנה פורת</v>
      </c>
      <c r="C23" s="69">
        <v>1.5</v>
      </c>
      <c r="D23" s="69"/>
      <c r="E23" s="272">
        <f t="shared" si="0"/>
        <v>1.5</v>
      </c>
      <c r="F23" s="88">
        <f>IF(B23="","",סיווג!X31)</f>
        <v>0.6</v>
      </c>
      <c r="G23" s="90">
        <f t="shared" si="3"/>
        <v>0.89999999999999991</v>
      </c>
      <c r="H23" s="91">
        <f t="shared" si="1"/>
        <v>6.7796610169491511E-2</v>
      </c>
      <c r="J23">
        <f t="shared" si="2"/>
        <v>1.5</v>
      </c>
      <c r="K23" t="str">
        <f>IF(B23="","",IF(ISNA(MATCH(C23,{0,1,2,1.5},0)),"BAD","OK"))</f>
        <v>OK</v>
      </c>
    </row>
    <row r="24" spans="1:11">
      <c r="A24" s="80">
        <f>סיווג!A32</f>
        <v>19</v>
      </c>
      <c r="B24" s="81" t="str">
        <f>IF(סיווג!B32=0,"",סיווג!B32)</f>
        <v>ארצי לנוער</v>
      </c>
      <c r="C24" s="69">
        <v>0</v>
      </c>
      <c r="D24" s="69"/>
      <c r="E24" s="272">
        <f t="shared" si="0"/>
        <v>0</v>
      </c>
      <c r="F24" s="88">
        <f>IF(B24="","",סיווג!X32)</f>
        <v>0.6</v>
      </c>
      <c r="G24" s="90">
        <f t="shared" si="3"/>
        <v>0</v>
      </c>
      <c r="H24" s="91">
        <f t="shared" si="1"/>
        <v>0</v>
      </c>
      <c r="J24">
        <f t="shared" si="2"/>
        <v>0</v>
      </c>
      <c r="K24" t="str">
        <f>IF(B24="","",IF(ISNA(MATCH(C24,{0,1,2,1.5},0)),"BAD","OK"))</f>
        <v>OK</v>
      </c>
    </row>
    <row r="25" spans="1:11">
      <c r="A25" s="80">
        <f>סיווג!A33</f>
        <v>20</v>
      </c>
      <c r="B25" s="81" t="str">
        <f>IF(סיווג!B33=0,"",סיווג!B33)</f>
        <v>הקיבוץ</v>
      </c>
      <c r="C25" s="69">
        <v>1</v>
      </c>
      <c r="D25" s="69"/>
      <c r="E25" s="272">
        <f t="shared" si="0"/>
        <v>1</v>
      </c>
      <c r="F25" s="88">
        <f>IF(B25="","",סיווג!X33)</f>
        <v>0.2</v>
      </c>
      <c r="G25" s="90">
        <f t="shared" si="3"/>
        <v>0.2</v>
      </c>
      <c r="H25" s="91">
        <f t="shared" si="1"/>
        <v>1.5065913370998118E-2</v>
      </c>
      <c r="J25">
        <f t="shared" si="2"/>
        <v>1</v>
      </c>
      <c r="K25" t="str">
        <f>IF(B25="","",IF(ISNA(MATCH(C25,{0,1,2,1.5},0)),"BAD","OK"))</f>
        <v>OK</v>
      </c>
    </row>
    <row r="26" spans="1:11">
      <c r="A26" s="80">
        <f>סיווג!A34</f>
        <v>21</v>
      </c>
      <c r="B26" s="81" t="str">
        <f>IF(סיווג!B34=0,"",סיווג!B34)</f>
        <v>הקרון</v>
      </c>
      <c r="C26" s="69">
        <v>2</v>
      </c>
      <c r="D26" s="69"/>
      <c r="E26" s="272">
        <f t="shared" si="0"/>
        <v>2</v>
      </c>
      <c r="F26" s="88">
        <f>IF(B26="","",סיווג!X34)</f>
        <v>0.2</v>
      </c>
      <c r="G26" s="90">
        <f t="shared" si="3"/>
        <v>0.4</v>
      </c>
      <c r="H26" s="91">
        <f t="shared" si="1"/>
        <v>3.0131826741996236E-2</v>
      </c>
      <c r="J26">
        <f t="shared" si="2"/>
        <v>2</v>
      </c>
      <c r="K26" t="str">
        <f>IF(B26="","",IF(ISNA(MATCH(C26,{0,1,2,1.5},0)),"BAD","OK"))</f>
        <v>OK</v>
      </c>
    </row>
    <row r="27" spans="1:11">
      <c r="A27" s="80">
        <f>סיווג!A35</f>
        <v>22</v>
      </c>
      <c r="B27" s="81" t="str">
        <f>IF(סיווג!B35=0,"",סיווג!B35)</f>
        <v>בית הגפן</v>
      </c>
      <c r="C27" s="69">
        <v>0</v>
      </c>
      <c r="D27" s="69"/>
      <c r="E27" s="272">
        <f t="shared" si="0"/>
        <v>0</v>
      </c>
      <c r="F27" s="88">
        <f>IF(B27="","",סיווג!X35)</f>
        <v>0.2</v>
      </c>
      <c r="G27" s="90">
        <f t="shared" si="3"/>
        <v>0</v>
      </c>
      <c r="H27" s="91">
        <f t="shared" si="1"/>
        <v>0</v>
      </c>
      <c r="J27">
        <f t="shared" si="2"/>
        <v>0</v>
      </c>
      <c r="K27" t="str">
        <f>IF(B27="","",IF(ISNA(MATCH(C27,{0,1,2,1.5},0)),"BAD","OK"))</f>
        <v>OK</v>
      </c>
    </row>
    <row r="28" spans="1:11">
      <c r="A28" s="80">
        <f>סיווג!A36</f>
        <v>23</v>
      </c>
      <c r="B28" s="81" t="str">
        <f>IF(סיווג!B36=0,"",סיווג!B36)</f>
        <v>הנפש</v>
      </c>
      <c r="C28" s="69">
        <v>1.5</v>
      </c>
      <c r="D28" s="69"/>
      <c r="E28" s="272">
        <f t="shared" si="0"/>
        <v>1.5</v>
      </c>
      <c r="F28" s="88">
        <f>IF(B28="","",סיווג!X36)</f>
        <v>0.2</v>
      </c>
      <c r="G28" s="90">
        <f t="shared" si="3"/>
        <v>0.30000000000000004</v>
      </c>
      <c r="H28" s="91">
        <f t="shared" si="1"/>
        <v>2.2598870056497179E-2</v>
      </c>
      <c r="J28">
        <f t="shared" si="2"/>
        <v>1.5</v>
      </c>
      <c r="K28" t="str">
        <f>IF(B28="","",IF(ISNA(MATCH(C28,{0,1,2,1.5},0)),"BAD","OK"))</f>
        <v>OK</v>
      </c>
    </row>
    <row r="29" spans="1:11">
      <c r="A29" s="80">
        <f>סיווג!A37</f>
        <v>24</v>
      </c>
      <c r="B29" s="81" t="str">
        <f>IF(סיווג!B37=0,"",סיווג!B37)</f>
        <v>השעה</v>
      </c>
      <c r="C29" s="69">
        <v>0</v>
      </c>
      <c r="D29" s="69"/>
      <c r="E29" s="272">
        <f t="shared" si="0"/>
        <v>0</v>
      </c>
      <c r="F29" s="88">
        <f>IF(B29="","",סיווג!X37)</f>
        <v>0.6</v>
      </c>
      <c r="G29" s="90">
        <f t="shared" si="3"/>
        <v>0</v>
      </c>
      <c r="H29" s="91">
        <f t="shared" si="1"/>
        <v>0</v>
      </c>
      <c r="J29">
        <f t="shared" si="2"/>
        <v>0</v>
      </c>
      <c r="K29" t="str">
        <f>IF(B29="","",IF(ISNA(MATCH(C29,{0,1,2,1.5},0)),"BAD","OK"))</f>
        <v>OK</v>
      </c>
    </row>
    <row r="30" spans="1:11">
      <c r="A30" s="80">
        <f>סיווג!A38</f>
        <v>25</v>
      </c>
      <c r="B30" s="81" t="str">
        <f>IF(סיווג!B38=0,"",סיווג!B38)</f>
        <v>עדי</v>
      </c>
      <c r="C30" s="69">
        <v>0</v>
      </c>
      <c r="D30" s="69"/>
      <c r="E30" s="272">
        <f t="shared" si="0"/>
        <v>0</v>
      </c>
      <c r="F30" s="88">
        <f>IF(B30="","",סיווג!X38)</f>
        <v>0.2</v>
      </c>
      <c r="G30" s="90">
        <f t="shared" si="3"/>
        <v>0</v>
      </c>
      <c r="H30" s="91">
        <f t="shared" si="1"/>
        <v>0</v>
      </c>
      <c r="J30">
        <f t="shared" si="2"/>
        <v>0</v>
      </c>
      <c r="K30" t="str">
        <f>IF(B30="","",IF(ISNA(MATCH(C30,{0,1,2,1.5},0)),"BAD","OK"))</f>
        <v>OK</v>
      </c>
    </row>
    <row r="31" spans="1:11">
      <c r="A31" s="80">
        <f>סיווג!A39</f>
        <v>26</v>
      </c>
      <c r="B31" s="81" t="str">
        <f>IF(סיווג!B39=0,"",סיווג!B39)</f>
        <v>מדייטק</v>
      </c>
      <c r="C31" s="69">
        <v>1</v>
      </c>
      <c r="D31" s="69"/>
      <c r="E31" s="272">
        <f t="shared" si="0"/>
        <v>1</v>
      </c>
      <c r="F31" s="88">
        <f>IF(B31="","",סיווג!X39)</f>
        <v>0.4</v>
      </c>
      <c r="G31" s="90">
        <f t="shared" si="3"/>
        <v>0.4</v>
      </c>
      <c r="H31" s="91">
        <f t="shared" si="1"/>
        <v>3.0131826741996236E-2</v>
      </c>
      <c r="J31">
        <f t="shared" si="2"/>
        <v>1</v>
      </c>
      <c r="K31" t="str">
        <f>IF(B31="","",IF(ISNA(MATCH(C31,{0,1,2,1.5},0)),"BAD","OK"))</f>
        <v>OK</v>
      </c>
    </row>
    <row r="32" spans="1:11">
      <c r="A32" s="80">
        <f>סיווג!A40</f>
        <v>27</v>
      </c>
      <c r="B32" s="81" t="str">
        <f>IF(סיווג!B40=0,"",סיווג!B40)</f>
        <v>חני</v>
      </c>
      <c r="C32" s="69">
        <v>1</v>
      </c>
      <c r="D32" s="69"/>
      <c r="E32" s="272">
        <f t="shared" si="0"/>
        <v>1</v>
      </c>
      <c r="F32" s="88">
        <f>IF(B32="","",סיווג!X40)</f>
        <v>0.2</v>
      </c>
      <c r="G32" s="90">
        <f t="shared" si="3"/>
        <v>0.2</v>
      </c>
      <c r="H32" s="91">
        <f t="shared" si="1"/>
        <v>1.5065913370998118E-2</v>
      </c>
      <c r="J32">
        <f t="shared" si="2"/>
        <v>1</v>
      </c>
      <c r="K32" t="str">
        <f>IF(B32="","",IF(ISNA(MATCH(C32,{0,1,2,1.5},0)),"BAD","OK"))</f>
        <v>OK</v>
      </c>
    </row>
    <row r="33" spans="1:11">
      <c r="A33" s="80">
        <f>סיווג!A41</f>
        <v>28</v>
      </c>
      <c r="B33" s="81" t="str">
        <f>IF(סיווג!B41=0,"",סיווג!B41)</f>
        <v xml:space="preserve">גשן </v>
      </c>
      <c r="C33" s="69">
        <v>1</v>
      </c>
      <c r="D33" s="69"/>
      <c r="E33" s="272">
        <f t="shared" si="0"/>
        <v>1</v>
      </c>
      <c r="F33" s="88">
        <f>IF(B33="","",סיווג!X41)</f>
        <v>0.2</v>
      </c>
      <c r="G33" s="90">
        <f t="shared" si="3"/>
        <v>0.2</v>
      </c>
      <c r="H33" s="91">
        <f t="shared" si="1"/>
        <v>1.5065913370998118E-2</v>
      </c>
      <c r="J33">
        <f t="shared" si="2"/>
        <v>1</v>
      </c>
      <c r="K33" t="str">
        <f>IF(B33="","",IF(ISNA(MATCH(C33,{0,1,2,1.5},0)),"BAD","OK"))</f>
        <v>OK</v>
      </c>
    </row>
    <row r="34" spans="1:11">
      <c r="A34" s="80">
        <f>סיווג!A42</f>
        <v>29</v>
      </c>
      <c r="B34" s="81" t="str">
        <f>IF(סיווג!B42=0,"",סיווג!B42)</f>
        <v>תיאטרון העברי</v>
      </c>
      <c r="C34" s="69">
        <v>1</v>
      </c>
      <c r="D34" s="69"/>
      <c r="E34" s="272">
        <f t="shared" si="0"/>
        <v>1</v>
      </c>
      <c r="F34" s="88">
        <f>IF(B34="","",סיווג!X42)</f>
        <v>0.25</v>
      </c>
      <c r="G34" s="90">
        <f t="shared" si="3"/>
        <v>0.25</v>
      </c>
      <c r="H34" s="91">
        <f t="shared" si="1"/>
        <v>1.8832391713747645E-2</v>
      </c>
      <c r="J34">
        <f t="shared" si="2"/>
        <v>1</v>
      </c>
      <c r="K34" t="str">
        <f>IF(B34="","",IF(ISNA(MATCH(C34,{0,1,2,1.5},0)),"BAD","OK"))</f>
        <v>OK</v>
      </c>
    </row>
    <row r="35" spans="1:11">
      <c r="A35" s="80">
        <f>סיווג!A43</f>
        <v>30</v>
      </c>
      <c r="B35" s="81" t="str">
        <f>IF(סיווג!B43=0,"",סיווג!B43)</f>
        <v>גליון ריק 2</v>
      </c>
      <c r="C35" s="69"/>
      <c r="D35" s="69"/>
      <c r="E35" s="272">
        <f t="shared" si="0"/>
        <v>0</v>
      </c>
      <c r="F35" s="88">
        <f>IF(B35="","",סיווג!X43)</f>
        <v>0</v>
      </c>
      <c r="G35" s="90">
        <f t="shared" si="3"/>
        <v>0</v>
      </c>
      <c r="H35" s="91">
        <f t="shared" si="1"/>
        <v>0</v>
      </c>
      <c r="J35">
        <f t="shared" si="2"/>
        <v>0</v>
      </c>
      <c r="K35" t="str">
        <f>IF(B35="","",IF(ISNA(MATCH(C35,{0,1,2,1.5},0)),"BAD","OK"))</f>
        <v>OK</v>
      </c>
    </row>
    <row r="36" spans="1:11">
      <c r="A36" s="80">
        <f>סיווג!A44</f>
        <v>31</v>
      </c>
      <c r="B36" s="81" t="str">
        <f>IF(סיווג!B44=0,"",סיווג!B44)</f>
        <v>גליון ריק 3</v>
      </c>
      <c r="C36" s="69"/>
      <c r="D36" s="69"/>
      <c r="E36" s="272">
        <f t="shared" si="0"/>
        <v>0</v>
      </c>
      <c r="F36" s="88">
        <f>IF(B36="","",סיווג!X44)</f>
        <v>0</v>
      </c>
      <c r="G36" s="90">
        <f t="shared" si="3"/>
        <v>0</v>
      </c>
      <c r="H36" s="91">
        <f t="shared" si="1"/>
        <v>0</v>
      </c>
      <c r="J36">
        <f t="shared" si="2"/>
        <v>0</v>
      </c>
      <c r="K36" t="str">
        <f>IF(B36="","",IF(ISNA(MATCH(C36,{0,1,2,1.5},0)),"BAD","OK"))</f>
        <v>OK</v>
      </c>
    </row>
    <row r="37" spans="1:11">
      <c r="A37" s="80">
        <f>סיווג!A45</f>
        <v>32</v>
      </c>
      <c r="B37" s="81" t="str">
        <f>IF(סיווג!B45=0,"",סיווג!B45)</f>
        <v/>
      </c>
      <c r="C37" s="69"/>
      <c r="D37" s="69"/>
      <c r="E37" s="272" t="str">
        <f t="shared" si="0"/>
        <v/>
      </c>
      <c r="F37" s="88" t="str">
        <f>IF(B37="","",סיווג!X45)</f>
        <v/>
      </c>
      <c r="G37" s="90" t="str">
        <f t="shared" si="3"/>
        <v/>
      </c>
      <c r="H37" s="91" t="str">
        <f t="shared" si="1"/>
        <v/>
      </c>
      <c r="J37" t="str">
        <f t="shared" si="2"/>
        <v>בדוק ניקוד</v>
      </c>
      <c r="K37" t="str">
        <f>IF(B37="","",IF(ISNA(MATCH(C37,{0,1,2,1.5},0)),"BAD","OK"))</f>
        <v/>
      </c>
    </row>
    <row r="38" spans="1:11" ht="13.5" thickBot="1">
      <c r="A38" s="82">
        <f>סיווג!A46</f>
        <v>33</v>
      </c>
      <c r="B38" s="83" t="str">
        <f>IF(סיווג!B46=0,"",סיווג!B46)</f>
        <v/>
      </c>
      <c r="C38" s="25"/>
      <c r="D38" s="275"/>
      <c r="E38" s="273" t="str">
        <f t="shared" si="0"/>
        <v/>
      </c>
      <c r="F38" s="89" t="str">
        <f>IF(B38="","",סיווג!X46)</f>
        <v/>
      </c>
      <c r="G38" s="90" t="str">
        <f t="shared" si="3"/>
        <v/>
      </c>
      <c r="H38" s="91" t="str">
        <f t="shared" si="1"/>
        <v/>
      </c>
      <c r="J38" t="str">
        <f t="shared" si="2"/>
        <v>בדוק ניקוד</v>
      </c>
      <c r="K38" t="str">
        <f>IF(B38="","",IF(ISNA(MATCH(C38,{0,1,2,1.5},0)),"BAD","OK"))</f>
        <v/>
      </c>
    </row>
    <row r="39" spans="1:11" ht="14.25" thickTop="1" thickBot="1">
      <c r="A39" s="618" t="s">
        <v>26</v>
      </c>
      <c r="B39" s="650"/>
      <c r="C39" s="650"/>
      <c r="D39" s="650"/>
      <c r="E39" s="650"/>
      <c r="F39" s="650"/>
      <c r="G39" s="6">
        <f>SUM(G6:G38)</f>
        <v>13.275</v>
      </c>
      <c r="H39" s="7">
        <f>SUM(H6:H38)</f>
        <v>0.99999999999999989</v>
      </c>
    </row>
    <row r="40" spans="1:11" ht="13.5" thickTop="1"/>
  </sheetData>
  <sheetProtection password="CC01" sheet="1" objects="1" scenarios="1" formatColumns="0" formatRows="0"/>
  <mergeCells count="10">
    <mergeCell ref="A3:H3"/>
    <mergeCell ref="A39:F39"/>
    <mergeCell ref="B1:C1"/>
    <mergeCell ref="B2:C2"/>
    <mergeCell ref="C4:E4"/>
    <mergeCell ref="A4:A5"/>
    <mergeCell ref="B4:B5"/>
    <mergeCell ref="F4:F5"/>
    <mergeCell ref="G4:G5"/>
    <mergeCell ref="H4:H5"/>
  </mergeCells>
  <phoneticPr fontId="5" type="noConversion"/>
  <conditionalFormatting sqref="C35:C38">
    <cfRule type="cellIs" dxfId="90" priority="4" stopIfTrue="1" operator="notEqual">
      <formula>J35</formula>
    </cfRule>
  </conditionalFormatting>
  <conditionalFormatting sqref="E6:E38">
    <cfRule type="expression" dxfId="89" priority="2" stopIfTrue="1">
      <formula>IF(E6&gt;C6,1,0)</formula>
    </cfRule>
  </conditionalFormatting>
  <conditionalFormatting sqref="C6:C34">
    <cfRule type="cellIs" dxfId="88" priority="1" stopIfTrue="1" operator="notEqual">
      <formula>J6</formula>
    </cfRule>
  </conditionalFormatting>
  <dataValidations count="1">
    <dataValidation type="list" errorStyle="warning" allowBlank="1" showInputMessage="1" showErrorMessage="1" errorTitle="טעות בהזנה" error="יש להזין ניקוד מתאים 0, 1, 1.5 או 2" sqref="C6:C38">
      <formula1>"0,1,1.5,2"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indexed="46"/>
    <pageSetUpPr fitToPage="1"/>
  </sheetPr>
  <dimension ref="A1:K40"/>
  <sheetViews>
    <sheetView rightToLeft="1" view="pageBreakPreview" zoomScale="73" workbookViewId="0">
      <selection activeCell="C26" sqref="C26"/>
    </sheetView>
  </sheetViews>
  <sheetFormatPr defaultRowHeight="12.75"/>
  <cols>
    <col min="1" max="1" width="10" bestFit="1" customWidth="1"/>
    <col min="2" max="2" width="26.5703125" customWidth="1"/>
    <col min="3" max="3" width="19.7109375" customWidth="1"/>
    <col min="4" max="4" width="16.140625" hidden="1" customWidth="1"/>
    <col min="5" max="5" width="16.7109375" hidden="1" customWidth="1"/>
    <col min="6" max="6" width="16.140625" bestFit="1" customWidth="1"/>
    <col min="7" max="7" width="14.140625" customWidth="1"/>
    <col min="8" max="8" width="12.28515625" customWidth="1"/>
    <col min="10" max="10" width="2.42578125" hidden="1" customWidth="1"/>
    <col min="11" max="11" width="4.28515625" hidden="1" customWidth="1"/>
  </cols>
  <sheetData>
    <row r="1" spans="1:11" ht="17.25" thickTop="1" thickBot="1">
      <c r="B1" s="620" t="str">
        <f>פרמטרים!B1</f>
        <v>שנת התקציב</v>
      </c>
      <c r="C1" s="621"/>
      <c r="F1" s="152">
        <f>פרמטרים!D1</f>
        <v>2018</v>
      </c>
    </row>
    <row r="2" spans="1:11" ht="16.5" thickBot="1">
      <c r="B2" s="622" t="str">
        <f>פרמטרים!B2</f>
        <v>תקציב</v>
      </c>
      <c r="C2" s="623"/>
      <c r="F2" s="140">
        <f>פרמטרים!D2</f>
        <v>98822015</v>
      </c>
    </row>
    <row r="3" spans="1:11" ht="17.25" thickTop="1" thickBot="1">
      <c r="A3" s="615" t="s">
        <v>85</v>
      </c>
      <c r="B3" s="616"/>
      <c r="C3" s="616"/>
      <c r="D3" s="616"/>
      <c r="E3" s="616"/>
      <c r="F3" s="616"/>
      <c r="G3" s="616"/>
      <c r="H3" s="617"/>
    </row>
    <row r="4" spans="1:11" ht="27.75" customHeight="1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160</v>
      </c>
      <c r="D4" s="628"/>
      <c r="E4" s="629"/>
      <c r="F4" s="626" t="s">
        <v>150</v>
      </c>
      <c r="G4" s="626" t="s">
        <v>331</v>
      </c>
      <c r="H4" s="630" t="s">
        <v>154</v>
      </c>
    </row>
    <row r="5" spans="1:11" ht="13.5" thickBot="1">
      <c r="A5" s="625"/>
      <c r="B5" s="614"/>
      <c r="C5" s="269" t="str">
        <f>סיווג!J13</f>
        <v xml:space="preserve"> שנת 2017</v>
      </c>
      <c r="D5" s="269" t="e">
        <f>סיווג!I13</f>
        <v>#VALUE!</v>
      </c>
      <c r="E5" s="269" t="str">
        <f>סיווג!J13</f>
        <v xml:space="preserve"> שנת 2017</v>
      </c>
      <c r="F5" s="614"/>
      <c r="G5" s="614"/>
      <c r="H5" s="631"/>
    </row>
    <row r="6" spans="1:11">
      <c r="A6" s="78">
        <f>סיווג!A14</f>
        <v>1</v>
      </c>
      <c r="B6" s="79" t="str">
        <f>IF(סיווג!B14=0,"",סיווג!B14)</f>
        <v>הבימה</v>
      </c>
      <c r="C6" s="69">
        <v>0</v>
      </c>
      <c r="D6" s="69"/>
      <c r="E6" s="272">
        <f t="shared" ref="E6:E38" si="0">IF($B6="","",MAX(C6:D6))</f>
        <v>0</v>
      </c>
      <c r="F6" s="87">
        <f>IF(B6="","",סיווג!X14)</f>
        <v>1</v>
      </c>
      <c r="G6" s="90">
        <f>IF(OR(ISERR(1*F6),K6="BAD"),"",F6*C6)</f>
        <v>0</v>
      </c>
      <c r="H6" s="91">
        <f t="shared" ref="H6:H38" si="1">IF(ISERR(G6/$G$39),"",G6/$G$39)</f>
        <v>0</v>
      </c>
      <c r="J6">
        <f t="shared" ref="J6:J38" si="2">IF(K6="OK",C6,"בדוק ניקוד")</f>
        <v>0</v>
      </c>
      <c r="K6" t="str">
        <f>IF(B6="","",IF(ISNA(MATCH(C6,{0,1,2,1.5},0)),"BAD","OK"))</f>
        <v>OK</v>
      </c>
    </row>
    <row r="7" spans="1:11">
      <c r="A7" s="80">
        <f>סיווג!A15</f>
        <v>2</v>
      </c>
      <c r="B7" s="81" t="str">
        <f>IF(סיווג!B15=0,"",סיווג!B15)</f>
        <v>הקאמרי</v>
      </c>
      <c r="C7" s="69">
        <v>1</v>
      </c>
      <c r="D7" s="69"/>
      <c r="E7" s="272">
        <f t="shared" si="0"/>
        <v>1</v>
      </c>
      <c r="F7" s="88">
        <f>IF(B7="","",סיווג!X15)</f>
        <v>1</v>
      </c>
      <c r="G7" s="90">
        <f t="shared" ref="G7:G38" si="3">IF(OR(ISERR(1*F7),K7="BAD"),"",F7*C7)</f>
        <v>1</v>
      </c>
      <c r="H7" s="91">
        <f t="shared" si="1"/>
        <v>8.8105726872246715E-2</v>
      </c>
      <c r="J7">
        <f t="shared" si="2"/>
        <v>1</v>
      </c>
      <c r="K7" t="str">
        <f>IF(B7="","",IF(ISNA(MATCH(C7,{0,1,2,1.5},0)),"BAD","OK"))</f>
        <v>OK</v>
      </c>
    </row>
    <row r="8" spans="1:11">
      <c r="A8" s="80">
        <f>סיווג!A16</f>
        <v>3</v>
      </c>
      <c r="B8" s="81" t="str">
        <f>IF(סיווג!B16=0,"",סיווג!B16)</f>
        <v>בית לסין</v>
      </c>
      <c r="C8" s="69">
        <v>1</v>
      </c>
      <c r="D8" s="69"/>
      <c r="E8" s="272">
        <f t="shared" si="0"/>
        <v>1</v>
      </c>
      <c r="F8" s="88">
        <f>IF(B8="","",סיווג!X16)</f>
        <v>1</v>
      </c>
      <c r="G8" s="90">
        <f t="shared" si="3"/>
        <v>1</v>
      </c>
      <c r="H8" s="91">
        <f t="shared" si="1"/>
        <v>8.8105726872246715E-2</v>
      </c>
      <c r="J8">
        <f t="shared" si="2"/>
        <v>1</v>
      </c>
      <c r="K8" t="str">
        <f>IF(B8="","",IF(ISNA(MATCH(C8,{0,1,2,1.5},0)),"BAD","OK"))</f>
        <v>OK</v>
      </c>
    </row>
    <row r="9" spans="1:11">
      <c r="A9" s="80">
        <f>סיווג!A17</f>
        <v>4</v>
      </c>
      <c r="B9" s="81" t="str">
        <f>IF(סיווג!B17=0,"",סיווג!B17)</f>
        <v>חיפה</v>
      </c>
      <c r="C9" s="69">
        <v>1</v>
      </c>
      <c r="D9" s="69"/>
      <c r="E9" s="272">
        <f t="shared" si="0"/>
        <v>1</v>
      </c>
      <c r="F9" s="88">
        <f>IF(B9="","",סיווג!X17)</f>
        <v>0.8</v>
      </c>
      <c r="G9" s="90">
        <f t="shared" si="3"/>
        <v>0.8</v>
      </c>
      <c r="H9" s="91">
        <f t="shared" si="1"/>
        <v>7.0484581497797377E-2</v>
      </c>
      <c r="J9">
        <f t="shared" si="2"/>
        <v>1</v>
      </c>
      <c r="K9" t="str">
        <f>IF(B9="","",IF(ISNA(MATCH(C9,{0,1,2,1.5},0)),"BAD","OK"))</f>
        <v>OK</v>
      </c>
    </row>
    <row r="10" spans="1:11">
      <c r="A10" s="80">
        <f>סיווג!A18</f>
        <v>5</v>
      </c>
      <c r="B10" s="81" t="str">
        <f>IF(סיווג!B18=0,"",סיווג!B18)</f>
        <v>באר שבע</v>
      </c>
      <c r="C10" s="69">
        <v>1</v>
      </c>
      <c r="D10" s="69"/>
      <c r="E10" s="272">
        <f t="shared" si="0"/>
        <v>1</v>
      </c>
      <c r="F10" s="88">
        <f>IF(B10="","",סיווג!X18)</f>
        <v>0.8</v>
      </c>
      <c r="G10" s="90">
        <f t="shared" si="3"/>
        <v>0.8</v>
      </c>
      <c r="H10" s="91">
        <f t="shared" si="1"/>
        <v>7.0484581497797377E-2</v>
      </c>
      <c r="J10">
        <f t="shared" si="2"/>
        <v>1</v>
      </c>
      <c r="K10" t="str">
        <f>IF(B10="","",IF(ISNA(MATCH(C10,{0,1,2,1.5},0)),"BAD","OK"))</f>
        <v>OK</v>
      </c>
    </row>
    <row r="11" spans="1:11">
      <c r="A11" s="80">
        <f>סיווג!A19</f>
        <v>6</v>
      </c>
      <c r="B11" s="81" t="str">
        <f>IF(סיווג!B19=0,"",סיווג!B19)</f>
        <v>גשר</v>
      </c>
      <c r="C11" s="69">
        <v>1</v>
      </c>
      <c r="D11" s="69"/>
      <c r="E11" s="272">
        <f t="shared" si="0"/>
        <v>1</v>
      </c>
      <c r="F11" s="88">
        <f>IF(B11="","",סיווג!X19)</f>
        <v>0.8</v>
      </c>
      <c r="G11" s="90">
        <f t="shared" si="3"/>
        <v>0.8</v>
      </c>
      <c r="H11" s="91">
        <f t="shared" si="1"/>
        <v>7.0484581497797377E-2</v>
      </c>
      <c r="J11">
        <f t="shared" si="2"/>
        <v>1</v>
      </c>
      <c r="K11" t="str">
        <f>IF(B11="","",IF(ISNA(MATCH(C11,{0,1,2,1.5},0)),"BAD","OK"))</f>
        <v>OK</v>
      </c>
    </row>
    <row r="12" spans="1:11">
      <c r="A12" s="80">
        <f>סיווג!A20</f>
        <v>7</v>
      </c>
      <c r="B12" s="81" t="str">
        <f>IF(סיווג!B20=0,"",סיווג!B20)</f>
        <v>החאן</v>
      </c>
      <c r="C12" s="69">
        <v>1</v>
      </c>
      <c r="D12" s="69"/>
      <c r="E12" s="272">
        <f t="shared" si="0"/>
        <v>1</v>
      </c>
      <c r="F12" s="88">
        <f>IF(B12="","",סיווג!X20)</f>
        <v>0.8</v>
      </c>
      <c r="G12" s="90">
        <f t="shared" si="3"/>
        <v>0.8</v>
      </c>
      <c r="H12" s="91">
        <f t="shared" si="1"/>
        <v>7.0484581497797377E-2</v>
      </c>
      <c r="J12">
        <f t="shared" si="2"/>
        <v>1</v>
      </c>
      <c r="K12" t="str">
        <f>IF(B12="","",IF(ISNA(MATCH(C12,{0,1,2,1.5},0)),"BAD","OK"))</f>
        <v>OK</v>
      </c>
    </row>
    <row r="13" spans="1:11">
      <c r="A13" s="80">
        <f>סיווג!A21</f>
        <v>8</v>
      </c>
      <c r="B13" s="81" t="str">
        <f>IF(סיווג!B21=0,"",סיווג!B21)</f>
        <v>היידישפיל</v>
      </c>
      <c r="C13" s="69">
        <v>0</v>
      </c>
      <c r="D13" s="69"/>
      <c r="E13" s="272">
        <f t="shared" si="0"/>
        <v>0</v>
      </c>
      <c r="F13" s="88">
        <f>IF(B13="","",סיווג!X21)</f>
        <v>0.8</v>
      </c>
      <c r="G13" s="90">
        <f t="shared" si="3"/>
        <v>0</v>
      </c>
      <c r="H13" s="91">
        <f t="shared" si="1"/>
        <v>0</v>
      </c>
      <c r="J13">
        <f t="shared" si="2"/>
        <v>0</v>
      </c>
      <c r="K13" t="str">
        <f>IF(B13="","",IF(ISNA(MATCH(C13,{0,1,2,1.5},0)),"BAD","OK"))</f>
        <v>OK</v>
      </c>
    </row>
    <row r="14" spans="1:11">
      <c r="A14" s="80">
        <f>סיווג!A22</f>
        <v>9</v>
      </c>
      <c r="B14" s="81" t="str">
        <f>IF(סיווג!B22=0,"",סיווג!B22)</f>
        <v>תיאטרון אלמידאן</v>
      </c>
      <c r="C14" s="69">
        <v>0</v>
      </c>
      <c r="D14" s="69"/>
      <c r="E14" s="272">
        <f t="shared" si="0"/>
        <v>0</v>
      </c>
      <c r="F14" s="88">
        <f>IF(B14="","",סיווג!X22)</f>
        <v>0</v>
      </c>
      <c r="G14" s="90">
        <f t="shared" si="3"/>
        <v>0</v>
      </c>
      <c r="H14" s="91">
        <f t="shared" si="1"/>
        <v>0</v>
      </c>
      <c r="J14">
        <f t="shared" si="2"/>
        <v>0</v>
      </c>
      <c r="K14" t="str">
        <f>IF(B14="","",IF(ISNA(MATCH(C14,{0,1,2,1.5},0)),"BAD","OK"))</f>
        <v>OK</v>
      </c>
    </row>
    <row r="15" spans="1:11">
      <c r="A15" s="80">
        <f>סיווג!A23</f>
        <v>10</v>
      </c>
      <c r="B15" s="81" t="str">
        <f>IF(סיווג!B23=0,"",סיווג!B23)</f>
        <v>הזירה הבין תחומית</v>
      </c>
      <c r="C15" s="69">
        <v>1</v>
      </c>
      <c r="D15" s="69"/>
      <c r="E15" s="272">
        <f t="shared" si="0"/>
        <v>1</v>
      </c>
      <c r="F15" s="88">
        <f>IF(B15="","",סיווג!X23)</f>
        <v>0.25</v>
      </c>
      <c r="G15" s="90">
        <f t="shared" si="3"/>
        <v>0.25</v>
      </c>
      <c r="H15" s="91">
        <f t="shared" si="1"/>
        <v>2.2026431718061679E-2</v>
      </c>
      <c r="J15">
        <f t="shared" si="2"/>
        <v>1</v>
      </c>
      <c r="K15" t="str">
        <f>IF(B15="","",IF(ISNA(MATCH(C15,{0,1,2,1.5},0)),"BAD","OK"))</f>
        <v>OK</v>
      </c>
    </row>
    <row r="16" spans="1:11">
      <c r="A16" s="80">
        <f>סיווג!A24</f>
        <v>11</v>
      </c>
      <c r="B16" s="81" t="str">
        <f>IF(סיווג!B24=0,"",סיווג!B24)</f>
        <v>אספקלריא</v>
      </c>
      <c r="C16" s="69">
        <v>2</v>
      </c>
      <c r="D16" s="69"/>
      <c r="E16" s="272">
        <f t="shared" si="0"/>
        <v>2</v>
      </c>
      <c r="F16" s="88">
        <f>IF(B16="","",סיווג!X24)</f>
        <v>0.25</v>
      </c>
      <c r="G16" s="90">
        <f t="shared" si="3"/>
        <v>0.5</v>
      </c>
      <c r="H16" s="91">
        <f t="shared" si="1"/>
        <v>4.4052863436123357E-2</v>
      </c>
      <c r="J16">
        <f t="shared" si="2"/>
        <v>2</v>
      </c>
      <c r="K16" t="str">
        <f>IF(B16="","",IF(ISNA(MATCH(C16,{0,1,2,1.5},0)),"BAD","OK"))</f>
        <v>OK</v>
      </c>
    </row>
    <row r="17" spans="1:11">
      <c r="A17" s="80">
        <f>סיווג!A25</f>
        <v>12</v>
      </c>
      <c r="B17" s="81" t="str">
        <f>IF(סיווג!B25=0,"",סיווג!B25)</f>
        <v/>
      </c>
      <c r="C17" s="69"/>
      <c r="D17" s="69"/>
      <c r="E17" s="272" t="str">
        <f t="shared" si="0"/>
        <v/>
      </c>
      <c r="F17" s="88" t="str">
        <f>IF(B17="","",סיווג!X25)</f>
        <v/>
      </c>
      <c r="G17" s="90" t="str">
        <f t="shared" si="3"/>
        <v/>
      </c>
      <c r="H17" s="91" t="str">
        <f t="shared" si="1"/>
        <v/>
      </c>
      <c r="J17" t="str">
        <f t="shared" si="2"/>
        <v>בדוק ניקוד</v>
      </c>
      <c r="K17" t="str">
        <f>IF(B17="","",IF(ISNA(MATCH(C17,{0,1,2,1.5},0)),"BAD","OK"))</f>
        <v/>
      </c>
    </row>
    <row r="18" spans="1:11">
      <c r="A18" s="80">
        <f>סיווג!A26</f>
        <v>13</v>
      </c>
      <c r="B18" s="81" t="str">
        <f>IF(סיווג!B26=0,"",סיווג!B26)</f>
        <v>עכו</v>
      </c>
      <c r="C18" s="69">
        <v>2</v>
      </c>
      <c r="D18" s="69"/>
      <c r="E18" s="272">
        <f t="shared" si="0"/>
        <v>2</v>
      </c>
      <c r="F18" s="88">
        <f>IF(B18="","",סיווג!X26)</f>
        <v>0.25</v>
      </c>
      <c r="G18" s="90">
        <f t="shared" si="3"/>
        <v>0.5</v>
      </c>
      <c r="H18" s="91">
        <f t="shared" si="1"/>
        <v>4.4052863436123357E-2</v>
      </c>
      <c r="J18">
        <f t="shared" si="2"/>
        <v>2</v>
      </c>
      <c r="K18" t="str">
        <f>IF(B18="","",IF(ISNA(MATCH(C18,{0,1,2,1.5},0)),"BAD","OK"))</f>
        <v>OK</v>
      </c>
    </row>
    <row r="19" spans="1:11">
      <c r="A19" s="80">
        <f>סיווג!A27</f>
        <v>14</v>
      </c>
      <c r="B19" s="81" t="str">
        <f>IF(סיווג!B27=0,"",סיווג!B27)</f>
        <v>הספרייה</v>
      </c>
      <c r="C19" s="69">
        <v>0</v>
      </c>
      <c r="D19" s="69"/>
      <c r="E19" s="272">
        <f t="shared" si="0"/>
        <v>0</v>
      </c>
      <c r="F19" s="88">
        <f>IF(B19="","",סיווג!X27)</f>
        <v>0.25</v>
      </c>
      <c r="G19" s="90">
        <f t="shared" si="3"/>
        <v>0</v>
      </c>
      <c r="H19" s="91">
        <f t="shared" si="1"/>
        <v>0</v>
      </c>
      <c r="J19">
        <f t="shared" si="2"/>
        <v>0</v>
      </c>
      <c r="K19" t="str">
        <f>IF(B19="","",IF(ISNA(MATCH(C19,{0,1,2,1.5},0)),"BAD","OK"))</f>
        <v>OK</v>
      </c>
    </row>
    <row r="20" spans="1:11">
      <c r="A20" s="80">
        <f>סיווג!A28</f>
        <v>15</v>
      </c>
      <c r="B20" s="81" t="str">
        <f>IF(סיווג!B28=0,"",סיווג!B28)</f>
        <v>יפו</v>
      </c>
      <c r="C20" s="69">
        <v>2</v>
      </c>
      <c r="D20" s="69"/>
      <c r="E20" s="272">
        <f t="shared" si="0"/>
        <v>2</v>
      </c>
      <c r="F20" s="88">
        <f>IF(B20="","",סיווג!X28)</f>
        <v>0.25</v>
      </c>
      <c r="G20" s="90">
        <f t="shared" si="3"/>
        <v>0.5</v>
      </c>
      <c r="H20" s="91">
        <f t="shared" si="1"/>
        <v>4.4052863436123357E-2</v>
      </c>
      <c r="J20">
        <f t="shared" si="2"/>
        <v>2</v>
      </c>
      <c r="K20" t="str">
        <f>IF(B20="","",IF(ISNA(MATCH(C20,{0,1,2,1.5},0)),"BAD","OK"))</f>
        <v>OK</v>
      </c>
    </row>
    <row r="21" spans="1:11">
      <c r="A21" s="80">
        <f>סיווג!A29</f>
        <v>16</v>
      </c>
      <c r="B21" s="81" t="str">
        <f>IF(סיווג!B29=0,"",סיווג!B29)</f>
        <v/>
      </c>
      <c r="C21" s="69"/>
      <c r="D21" s="69"/>
      <c r="E21" s="272" t="str">
        <f t="shared" si="0"/>
        <v/>
      </c>
      <c r="F21" s="88" t="str">
        <f>IF(B21="","",סיווג!X29)</f>
        <v/>
      </c>
      <c r="G21" s="90" t="str">
        <f t="shared" si="3"/>
        <v/>
      </c>
      <c r="H21" s="91" t="str">
        <f t="shared" si="1"/>
        <v/>
      </c>
      <c r="J21" t="str">
        <f t="shared" si="2"/>
        <v>בדוק ניקוד</v>
      </c>
      <c r="K21" t="str">
        <f>IF(B21="","",IF(ISNA(MATCH(C21,{0,1,2,1.5},0)),"BAD","OK"))</f>
        <v/>
      </c>
    </row>
    <row r="22" spans="1:11">
      <c r="A22" s="80">
        <f>סיווג!A30</f>
        <v>17</v>
      </c>
      <c r="B22" s="81" t="str">
        <f>IF(סיווג!B30=0,"",סיווג!B30)</f>
        <v>אינקובטור</v>
      </c>
      <c r="C22" s="69">
        <v>2</v>
      </c>
      <c r="D22" s="69"/>
      <c r="E22" s="272">
        <f t="shared" si="0"/>
        <v>2</v>
      </c>
      <c r="F22" s="88">
        <f>IF(B22="","",סיווג!X30)</f>
        <v>0.25</v>
      </c>
      <c r="G22" s="90">
        <f t="shared" si="3"/>
        <v>0.5</v>
      </c>
      <c r="H22" s="91">
        <f t="shared" si="1"/>
        <v>4.4052863436123357E-2</v>
      </c>
      <c r="J22">
        <f t="shared" si="2"/>
        <v>2</v>
      </c>
      <c r="K22" t="str">
        <f>IF(B22="","",IF(ISNA(MATCH(C22,{0,1,2,1.5},0)),"BAD","OK"))</f>
        <v>OK</v>
      </c>
    </row>
    <row r="23" spans="1:11">
      <c r="A23" s="80">
        <f>סיווג!A31</f>
        <v>18</v>
      </c>
      <c r="B23" s="81" t="str">
        <f>IF(סיווג!B31=0,"",סיווג!B31)</f>
        <v>אורנה פורת</v>
      </c>
      <c r="C23" s="69">
        <v>1</v>
      </c>
      <c r="D23" s="69"/>
      <c r="E23" s="272">
        <f t="shared" si="0"/>
        <v>1</v>
      </c>
      <c r="F23" s="88">
        <f>IF(B23="","",סיווג!X31)</f>
        <v>0.6</v>
      </c>
      <c r="G23" s="90">
        <f t="shared" si="3"/>
        <v>0.6</v>
      </c>
      <c r="H23" s="91">
        <f t="shared" si="1"/>
        <v>5.2863436123348026E-2</v>
      </c>
      <c r="J23">
        <f t="shared" si="2"/>
        <v>1</v>
      </c>
      <c r="K23" t="str">
        <f>IF(B23="","",IF(ISNA(MATCH(C23,{0,1,2,1.5},0)),"BAD","OK"))</f>
        <v>OK</v>
      </c>
    </row>
    <row r="24" spans="1:11">
      <c r="A24" s="80">
        <f>סיווג!A32</f>
        <v>19</v>
      </c>
      <c r="B24" s="81" t="str">
        <f>IF(סיווג!B32=0,"",סיווג!B32)</f>
        <v>ארצי לנוער</v>
      </c>
      <c r="C24" s="69">
        <v>2</v>
      </c>
      <c r="D24" s="69"/>
      <c r="E24" s="272">
        <f t="shared" si="0"/>
        <v>2</v>
      </c>
      <c r="F24" s="88">
        <f>IF(B24="","",סיווג!X32)</f>
        <v>0.6</v>
      </c>
      <c r="G24" s="90">
        <f t="shared" si="3"/>
        <v>1.2</v>
      </c>
      <c r="H24" s="91">
        <f t="shared" si="1"/>
        <v>0.10572687224669605</v>
      </c>
      <c r="J24">
        <f t="shared" si="2"/>
        <v>2</v>
      </c>
      <c r="K24" t="str">
        <f>IF(B24="","",IF(ISNA(MATCH(C24,{0,1,2,1.5},0)),"BAD","OK"))</f>
        <v>OK</v>
      </c>
    </row>
    <row r="25" spans="1:11">
      <c r="A25" s="80">
        <f>סיווג!A33</f>
        <v>20</v>
      </c>
      <c r="B25" s="81" t="str">
        <f>IF(סיווג!B33=0,"",סיווג!B33)</f>
        <v>הקיבוץ</v>
      </c>
      <c r="C25" s="69">
        <v>0</v>
      </c>
      <c r="D25" s="69"/>
      <c r="E25" s="272">
        <f t="shared" si="0"/>
        <v>0</v>
      </c>
      <c r="F25" s="88">
        <f>IF(B25="","",סיווג!X33)</f>
        <v>0.2</v>
      </c>
      <c r="G25" s="90">
        <f t="shared" si="3"/>
        <v>0</v>
      </c>
      <c r="H25" s="91">
        <f t="shared" si="1"/>
        <v>0</v>
      </c>
      <c r="J25">
        <f t="shared" si="2"/>
        <v>0</v>
      </c>
      <c r="K25" t="str">
        <f>IF(B25="","",IF(ISNA(MATCH(C25,{0,1,2,1.5},0)),"BAD","OK"))</f>
        <v>OK</v>
      </c>
    </row>
    <row r="26" spans="1:11">
      <c r="A26" s="80">
        <f>סיווג!A34</f>
        <v>21</v>
      </c>
      <c r="B26" s="81" t="str">
        <f>IF(סיווג!B34=0,"",סיווג!B34)</f>
        <v>הקרון</v>
      </c>
      <c r="C26" s="69">
        <v>2</v>
      </c>
      <c r="D26" s="69"/>
      <c r="E26" s="272">
        <f t="shared" si="0"/>
        <v>2</v>
      </c>
      <c r="F26" s="88">
        <f>IF(B26="","",סיווג!X34)</f>
        <v>0.2</v>
      </c>
      <c r="G26" s="90">
        <f t="shared" si="3"/>
        <v>0.4</v>
      </c>
      <c r="H26" s="91">
        <f t="shared" si="1"/>
        <v>3.5242290748898689E-2</v>
      </c>
      <c r="J26">
        <f t="shared" si="2"/>
        <v>2</v>
      </c>
      <c r="K26" t="str">
        <f>IF(B26="","",IF(ISNA(MATCH(C26,{0,1,2,1.5},0)),"BAD","OK"))</f>
        <v>OK</v>
      </c>
    </row>
    <row r="27" spans="1:11">
      <c r="A27" s="80">
        <f>סיווג!A35</f>
        <v>22</v>
      </c>
      <c r="B27" s="81" t="str">
        <f>IF(סיווג!B35=0,"",סיווג!B35)</f>
        <v>בית הגפן</v>
      </c>
      <c r="C27" s="69">
        <v>2</v>
      </c>
      <c r="D27" s="69"/>
      <c r="E27" s="272">
        <f t="shared" si="0"/>
        <v>2</v>
      </c>
      <c r="F27" s="88">
        <f>IF(B27="","",סיווג!X35)</f>
        <v>0.2</v>
      </c>
      <c r="G27" s="90">
        <f t="shared" si="3"/>
        <v>0.4</v>
      </c>
      <c r="H27" s="91">
        <f t="shared" si="1"/>
        <v>3.5242290748898689E-2</v>
      </c>
      <c r="J27">
        <f t="shared" si="2"/>
        <v>2</v>
      </c>
      <c r="K27" t="str">
        <f>IF(B27="","",IF(ISNA(MATCH(C27,{0,1,2,1.5},0)),"BAD","OK"))</f>
        <v>OK</v>
      </c>
    </row>
    <row r="28" spans="1:11">
      <c r="A28" s="80">
        <f>סיווג!A36</f>
        <v>23</v>
      </c>
      <c r="B28" s="81" t="str">
        <f>IF(סיווג!B36=0,"",סיווג!B36)</f>
        <v>הנפש</v>
      </c>
      <c r="C28" s="69">
        <v>1</v>
      </c>
      <c r="D28" s="69"/>
      <c r="E28" s="272">
        <f t="shared" si="0"/>
        <v>1</v>
      </c>
      <c r="F28" s="88">
        <f>IF(B28="","",סיווג!X36)</f>
        <v>0.2</v>
      </c>
      <c r="G28" s="90">
        <f t="shared" si="3"/>
        <v>0.2</v>
      </c>
      <c r="H28" s="91">
        <f t="shared" si="1"/>
        <v>1.7621145374449344E-2</v>
      </c>
      <c r="J28">
        <f t="shared" si="2"/>
        <v>1</v>
      </c>
      <c r="K28" t="str">
        <f>IF(B28="","",IF(ISNA(MATCH(C28,{0,1,2,1.5},0)),"BAD","OK"))</f>
        <v>OK</v>
      </c>
    </row>
    <row r="29" spans="1:11">
      <c r="A29" s="80">
        <f>סיווג!A37</f>
        <v>24</v>
      </c>
      <c r="B29" s="81" t="str">
        <f>IF(סיווג!B37=0,"",סיווג!B37)</f>
        <v>השעה</v>
      </c>
      <c r="C29" s="69">
        <v>0</v>
      </c>
      <c r="D29" s="69"/>
      <c r="E29" s="272">
        <f t="shared" si="0"/>
        <v>0</v>
      </c>
      <c r="F29" s="88">
        <f>IF(B29="","",סיווג!X37)</f>
        <v>0.6</v>
      </c>
      <c r="G29" s="90">
        <f t="shared" si="3"/>
        <v>0</v>
      </c>
      <c r="H29" s="91">
        <f t="shared" si="1"/>
        <v>0</v>
      </c>
      <c r="J29">
        <f t="shared" si="2"/>
        <v>0</v>
      </c>
      <c r="K29" t="str">
        <f>IF(B29="","",IF(ISNA(MATCH(C29,{0,1,2,1.5},0)),"BAD","OK"))</f>
        <v>OK</v>
      </c>
    </row>
    <row r="30" spans="1:11">
      <c r="A30" s="80">
        <f>סיווג!A38</f>
        <v>25</v>
      </c>
      <c r="B30" s="81" t="str">
        <f>IF(סיווג!B38=0,"",סיווג!B38)</f>
        <v>עדי</v>
      </c>
      <c r="C30" s="69">
        <v>0</v>
      </c>
      <c r="D30" s="69"/>
      <c r="E30" s="272">
        <f t="shared" si="0"/>
        <v>0</v>
      </c>
      <c r="F30" s="88">
        <f>IF(B30="","",סיווג!X38)</f>
        <v>0.2</v>
      </c>
      <c r="G30" s="90">
        <f t="shared" si="3"/>
        <v>0</v>
      </c>
      <c r="H30" s="91">
        <f t="shared" si="1"/>
        <v>0</v>
      </c>
      <c r="J30">
        <f t="shared" si="2"/>
        <v>0</v>
      </c>
      <c r="K30" t="str">
        <f>IF(B30="","",IF(ISNA(MATCH(C30,{0,1,2,1.5},0)),"BAD","OK"))</f>
        <v>OK</v>
      </c>
    </row>
    <row r="31" spans="1:11">
      <c r="A31" s="80">
        <f>סיווג!A39</f>
        <v>26</v>
      </c>
      <c r="B31" s="81" t="str">
        <f>IF(סיווג!B39=0,"",סיווג!B39)</f>
        <v>מדייטק</v>
      </c>
      <c r="C31" s="69">
        <v>1</v>
      </c>
      <c r="D31" s="69"/>
      <c r="E31" s="272">
        <f t="shared" si="0"/>
        <v>1</v>
      </c>
      <c r="F31" s="88">
        <f>IF(B31="","",סיווג!X39)</f>
        <v>0.4</v>
      </c>
      <c r="G31" s="90">
        <f t="shared" si="3"/>
        <v>0.4</v>
      </c>
      <c r="H31" s="91">
        <f t="shared" si="1"/>
        <v>3.5242290748898689E-2</v>
      </c>
      <c r="J31">
        <f t="shared" si="2"/>
        <v>1</v>
      </c>
      <c r="K31" t="str">
        <f>IF(B31="","",IF(ISNA(MATCH(C31,{0,1,2,1.5},0)),"BAD","OK"))</f>
        <v>OK</v>
      </c>
    </row>
    <row r="32" spans="1:11">
      <c r="A32" s="80">
        <f>סיווג!A40</f>
        <v>27</v>
      </c>
      <c r="B32" s="81" t="str">
        <f>IF(סיווג!B40=0,"",סיווג!B40)</f>
        <v>חני</v>
      </c>
      <c r="C32" s="69">
        <v>0</v>
      </c>
      <c r="D32" s="69"/>
      <c r="E32" s="272">
        <f t="shared" si="0"/>
        <v>0</v>
      </c>
      <c r="F32" s="88">
        <f>IF(B32="","",סיווג!X40)</f>
        <v>0.2</v>
      </c>
      <c r="G32" s="90">
        <f t="shared" si="3"/>
        <v>0</v>
      </c>
      <c r="H32" s="91">
        <f t="shared" si="1"/>
        <v>0</v>
      </c>
      <c r="J32">
        <f t="shared" si="2"/>
        <v>0</v>
      </c>
      <c r="K32" t="str">
        <f>IF(B32="","",IF(ISNA(MATCH(C32,{0,1,2,1.5},0)),"BAD","OK"))</f>
        <v>OK</v>
      </c>
    </row>
    <row r="33" spans="1:11">
      <c r="A33" s="80">
        <f>סיווג!A41</f>
        <v>28</v>
      </c>
      <c r="B33" s="81" t="str">
        <f>IF(סיווג!B41=0,"",סיווג!B41)</f>
        <v xml:space="preserve">גשן </v>
      </c>
      <c r="C33" s="69">
        <v>1</v>
      </c>
      <c r="D33" s="69"/>
      <c r="E33" s="272">
        <f t="shared" si="0"/>
        <v>1</v>
      </c>
      <c r="F33" s="88">
        <f>IF(B33="","",סיווג!X41)</f>
        <v>0.2</v>
      </c>
      <c r="G33" s="90">
        <f t="shared" si="3"/>
        <v>0.2</v>
      </c>
      <c r="H33" s="91">
        <f t="shared" si="1"/>
        <v>1.7621145374449344E-2</v>
      </c>
      <c r="J33">
        <f t="shared" si="2"/>
        <v>1</v>
      </c>
      <c r="K33" t="str">
        <f>IF(B33="","",IF(ISNA(MATCH(C33,{0,1,2,1.5},0)),"BAD","OK"))</f>
        <v>OK</v>
      </c>
    </row>
    <row r="34" spans="1:11">
      <c r="A34" s="80">
        <f>סיווג!A42</f>
        <v>29</v>
      </c>
      <c r="B34" s="81" t="str">
        <f>IF(סיווג!B42=0,"",סיווג!B42)</f>
        <v>תיאטרון העברי</v>
      </c>
      <c r="C34" s="69">
        <v>2</v>
      </c>
      <c r="D34" s="69"/>
      <c r="E34" s="272">
        <f t="shared" si="0"/>
        <v>2</v>
      </c>
      <c r="F34" s="88">
        <f>IF(B34="","",סיווג!X42)</f>
        <v>0.25</v>
      </c>
      <c r="G34" s="90">
        <f t="shared" si="3"/>
        <v>0.5</v>
      </c>
      <c r="H34" s="91">
        <f t="shared" si="1"/>
        <v>4.4052863436123357E-2</v>
      </c>
      <c r="J34">
        <f t="shared" si="2"/>
        <v>2</v>
      </c>
      <c r="K34" t="str">
        <f>IF(B34="","",IF(ISNA(MATCH(C34,{0,1,2,1.5},0)),"BAD","OK"))</f>
        <v>OK</v>
      </c>
    </row>
    <row r="35" spans="1:11">
      <c r="A35" s="80">
        <f>סיווג!A43</f>
        <v>30</v>
      </c>
      <c r="B35" s="81" t="str">
        <f>IF(סיווג!B43=0,"",סיווג!B43)</f>
        <v>גליון ריק 2</v>
      </c>
      <c r="C35" s="69"/>
      <c r="D35" s="69"/>
      <c r="E35" s="272">
        <f t="shared" si="0"/>
        <v>0</v>
      </c>
      <c r="F35" s="88">
        <f>IF(B35="","",סיווג!X43)</f>
        <v>0</v>
      </c>
      <c r="G35" s="90">
        <f t="shared" si="3"/>
        <v>0</v>
      </c>
      <c r="H35" s="91">
        <f t="shared" si="1"/>
        <v>0</v>
      </c>
      <c r="J35">
        <f t="shared" si="2"/>
        <v>0</v>
      </c>
      <c r="K35" t="str">
        <f>IF(B35="","",IF(ISNA(MATCH(C35,{0,1,2,1.5},0)),"BAD","OK"))</f>
        <v>OK</v>
      </c>
    </row>
    <row r="36" spans="1:11">
      <c r="A36" s="80">
        <f>סיווג!A44</f>
        <v>31</v>
      </c>
      <c r="B36" s="81" t="str">
        <f>IF(סיווג!B44=0,"",סיווג!B44)</f>
        <v>גליון ריק 3</v>
      </c>
      <c r="C36" s="69"/>
      <c r="D36" s="69"/>
      <c r="E36" s="272">
        <f t="shared" si="0"/>
        <v>0</v>
      </c>
      <c r="F36" s="88">
        <f>IF(B36="","",סיווג!X44)</f>
        <v>0</v>
      </c>
      <c r="G36" s="90">
        <f t="shared" si="3"/>
        <v>0</v>
      </c>
      <c r="H36" s="91">
        <f t="shared" si="1"/>
        <v>0</v>
      </c>
      <c r="J36">
        <f t="shared" si="2"/>
        <v>0</v>
      </c>
      <c r="K36" t="str">
        <f>IF(B36="","",IF(ISNA(MATCH(C36,{0,1,2,1.5},0)),"BAD","OK"))</f>
        <v>OK</v>
      </c>
    </row>
    <row r="37" spans="1:11">
      <c r="A37" s="80">
        <f>סיווג!A45</f>
        <v>32</v>
      </c>
      <c r="B37" s="81" t="str">
        <f>IF(סיווג!B45=0,"",סיווג!B45)</f>
        <v/>
      </c>
      <c r="C37" s="69"/>
      <c r="D37" s="69"/>
      <c r="E37" s="272" t="str">
        <f t="shared" si="0"/>
        <v/>
      </c>
      <c r="F37" s="88" t="str">
        <f>IF(B37="","",סיווג!X45)</f>
        <v/>
      </c>
      <c r="G37" s="90" t="str">
        <f t="shared" si="3"/>
        <v/>
      </c>
      <c r="H37" s="91" t="str">
        <f t="shared" si="1"/>
        <v/>
      </c>
      <c r="J37" t="str">
        <f t="shared" si="2"/>
        <v>בדוק ניקוד</v>
      </c>
      <c r="K37" t="str">
        <f>IF(B37="","",IF(ISNA(MATCH(C37,{0,1,2,1.5},0)),"BAD","OK"))</f>
        <v/>
      </c>
    </row>
    <row r="38" spans="1:11" ht="13.5" thickBot="1">
      <c r="A38" s="82">
        <f>סיווג!A46</f>
        <v>33</v>
      </c>
      <c r="B38" s="83" t="str">
        <f>IF(סיווג!B46=0,"",סיווג!B46)</f>
        <v/>
      </c>
      <c r="C38" s="69"/>
      <c r="D38" s="274"/>
      <c r="E38" s="273" t="str">
        <f t="shared" si="0"/>
        <v/>
      </c>
      <c r="F38" s="89" t="str">
        <f>IF(B38="","",סיווג!X46)</f>
        <v/>
      </c>
      <c r="G38" s="90" t="str">
        <f t="shared" si="3"/>
        <v/>
      </c>
      <c r="H38" s="91" t="str">
        <f t="shared" si="1"/>
        <v/>
      </c>
      <c r="J38" t="str">
        <f t="shared" si="2"/>
        <v>בדוק ניקוד</v>
      </c>
      <c r="K38" t="str">
        <f>IF(B38="","",IF(ISNA(MATCH(C38,{0,1,2,1.5},0)),"BAD","OK"))</f>
        <v/>
      </c>
    </row>
    <row r="39" spans="1:11" ht="14.25" thickTop="1" thickBot="1">
      <c r="A39" s="618" t="s">
        <v>26</v>
      </c>
      <c r="B39" s="650"/>
      <c r="C39" s="650"/>
      <c r="D39" s="650"/>
      <c r="E39" s="650"/>
      <c r="F39" s="650"/>
      <c r="G39" s="6">
        <f>SUM(G6:G38)</f>
        <v>11.349999999999998</v>
      </c>
      <c r="H39" s="7">
        <f>SUM(H6:H38)</f>
        <v>1.0000000000000004</v>
      </c>
    </row>
    <row r="40" spans="1:11" ht="13.5" thickTop="1"/>
  </sheetData>
  <sheetProtection password="CC01" sheet="1" objects="1" scenarios="1" formatColumns="0" formatRows="0"/>
  <mergeCells count="10">
    <mergeCell ref="A3:H3"/>
    <mergeCell ref="A39:F39"/>
    <mergeCell ref="B1:C1"/>
    <mergeCell ref="B2:C2"/>
    <mergeCell ref="C4:E4"/>
    <mergeCell ref="A4:A5"/>
    <mergeCell ref="B4:B5"/>
    <mergeCell ref="F4:F5"/>
    <mergeCell ref="G4:G5"/>
    <mergeCell ref="H4:H5"/>
  </mergeCells>
  <phoneticPr fontId="5" type="noConversion"/>
  <conditionalFormatting sqref="C35:C38">
    <cfRule type="cellIs" dxfId="87" priority="4" stopIfTrue="1" operator="notEqual">
      <formula>J35</formula>
    </cfRule>
  </conditionalFormatting>
  <conditionalFormatting sqref="E6:E38">
    <cfRule type="expression" dxfId="86" priority="2" stopIfTrue="1">
      <formula>IF(E6&gt;C6,1,0)</formula>
    </cfRule>
  </conditionalFormatting>
  <conditionalFormatting sqref="C6:C34">
    <cfRule type="cellIs" dxfId="85" priority="1" stopIfTrue="1" operator="notEqual">
      <formula>J6</formula>
    </cfRule>
  </conditionalFormatting>
  <dataValidations count="1">
    <dataValidation type="list" errorStyle="warning" allowBlank="1" showInputMessage="1" showErrorMessage="1" errorTitle="טעות בהזנה" error="יש להזין ניקוד מתאים 0,1 או 2" sqref="C6:C38">
      <formula1>"0,1,2"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indexed="46"/>
    <pageSetUpPr fitToPage="1"/>
  </sheetPr>
  <dimension ref="A1:L40"/>
  <sheetViews>
    <sheetView rightToLeft="1" view="pageBreakPreview" zoomScale="73" workbookViewId="0">
      <selection activeCell="G51" sqref="G51"/>
    </sheetView>
  </sheetViews>
  <sheetFormatPr defaultRowHeight="12.75"/>
  <cols>
    <col min="1" max="1" width="10" bestFit="1" customWidth="1"/>
    <col min="2" max="2" width="26.5703125" customWidth="1"/>
    <col min="3" max="3" width="19.7109375" customWidth="1"/>
    <col min="4" max="4" width="16.140625" hidden="1" customWidth="1"/>
    <col min="5" max="5" width="17.140625" hidden="1" customWidth="1"/>
    <col min="6" max="6" width="16.140625" bestFit="1" customWidth="1"/>
    <col min="7" max="7" width="15.140625" customWidth="1"/>
    <col min="8" max="8" width="12.28515625" customWidth="1"/>
    <col min="11" max="11" width="2.42578125" hidden="1" customWidth="1"/>
    <col min="12" max="12" width="4.28515625" hidden="1" customWidth="1"/>
  </cols>
  <sheetData>
    <row r="1" spans="1:12" ht="17.25" thickTop="1" thickBot="1">
      <c r="B1" s="620" t="str">
        <f>פרמטרים!B1</f>
        <v>שנת התקציב</v>
      </c>
      <c r="C1" s="621"/>
      <c r="F1" s="152">
        <f>פרמטרים!D1</f>
        <v>2018</v>
      </c>
    </row>
    <row r="2" spans="1:12" ht="16.5" thickBot="1">
      <c r="B2" s="622" t="str">
        <f>פרמטרים!B2</f>
        <v>תקציב</v>
      </c>
      <c r="C2" s="623"/>
      <c r="F2" s="140">
        <f>פרמטרים!D2</f>
        <v>98822015</v>
      </c>
    </row>
    <row r="3" spans="1:12" ht="17.25" thickTop="1" thickBot="1">
      <c r="A3" s="615" t="s">
        <v>91</v>
      </c>
      <c r="B3" s="616"/>
      <c r="C3" s="616"/>
      <c r="D3" s="616"/>
      <c r="E3" s="616"/>
      <c r="F3" s="616"/>
      <c r="G3" s="616"/>
      <c r="H3" s="617"/>
    </row>
    <row r="4" spans="1:12" ht="27.75" customHeight="1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161</v>
      </c>
      <c r="D4" s="628"/>
      <c r="E4" s="629"/>
      <c r="F4" s="626" t="s">
        <v>150</v>
      </c>
      <c r="G4" s="626" t="s">
        <v>162</v>
      </c>
      <c r="H4" s="630" t="s">
        <v>154</v>
      </c>
    </row>
    <row r="5" spans="1:12" ht="13.5" thickBot="1">
      <c r="A5" s="625"/>
      <c r="B5" s="614"/>
      <c r="C5" s="269" t="str">
        <f>סיווג!J13</f>
        <v xml:space="preserve"> שנת 2017</v>
      </c>
      <c r="D5" s="269" t="e">
        <f>סיווג!I13</f>
        <v>#VALUE!</v>
      </c>
      <c r="E5" s="269" t="str">
        <f>סיווג!J13</f>
        <v xml:space="preserve"> שנת 2017</v>
      </c>
      <c r="F5" s="614"/>
      <c r="G5" s="614"/>
      <c r="H5" s="631"/>
    </row>
    <row r="6" spans="1:12">
      <c r="A6" s="78">
        <f>סיווג!A14</f>
        <v>1</v>
      </c>
      <c r="B6" s="79" t="str">
        <f>IF(סיווג!B14=0,"",סיווג!B14)</f>
        <v>הבימה</v>
      </c>
      <c r="C6" s="69">
        <v>2</v>
      </c>
      <c r="D6" s="69"/>
      <c r="E6" s="272">
        <f t="shared" ref="E6:E38" si="0">IF($B6="","",MAX(C6:D6))</f>
        <v>2</v>
      </c>
      <c r="F6" s="87">
        <f>IF(B6="","",סיווג!X14)</f>
        <v>1</v>
      </c>
      <c r="G6" s="90">
        <f>IF(OR(ISERR(1*F6),L6="BAD"),"",F6*C6)</f>
        <v>2</v>
      </c>
      <c r="H6" s="91">
        <f t="shared" ref="H6:H38" si="1">IF(ISERR(G6/$G$39),"",G6/$G$39)</f>
        <v>0.19138755980861244</v>
      </c>
      <c r="K6">
        <f>IF(L6="OK",C6,"בדוק ניקוד")</f>
        <v>2</v>
      </c>
      <c r="L6" t="str">
        <f>IF(B6="","",IF(ISNA(MATCH(C6,{0,1,2},0)),"BAD","OK"))</f>
        <v>OK</v>
      </c>
    </row>
    <row r="7" spans="1:12">
      <c r="A7" s="80">
        <f>סיווג!A15</f>
        <v>2</v>
      </c>
      <c r="B7" s="81" t="str">
        <f>IF(סיווג!B15=0,"",סיווג!B15)</f>
        <v>הקאמרי</v>
      </c>
      <c r="C7" s="69">
        <v>2</v>
      </c>
      <c r="D7" s="69"/>
      <c r="E7" s="272">
        <f t="shared" si="0"/>
        <v>2</v>
      </c>
      <c r="F7" s="88">
        <f>IF(B7="","",סיווג!X15)</f>
        <v>1</v>
      </c>
      <c r="G7" s="90">
        <f t="shared" ref="G7:G38" si="2">IF(OR(ISERR(1*F7),L7="BAD"),"",F7*C7)</f>
        <v>2</v>
      </c>
      <c r="H7" s="91">
        <f t="shared" si="1"/>
        <v>0.19138755980861244</v>
      </c>
      <c r="K7">
        <f t="shared" ref="K7:K38" si="3">IF(L7="OK",C7,"בדוק ניקוד")</f>
        <v>2</v>
      </c>
      <c r="L7" t="str">
        <f>IF(B7="","",IF(ISNA(MATCH(C7,{0,1,2},0)),"BAD","OK"))</f>
        <v>OK</v>
      </c>
    </row>
    <row r="8" spans="1:12">
      <c r="A8" s="80">
        <f>סיווג!A16</f>
        <v>3</v>
      </c>
      <c r="B8" s="81" t="str">
        <f>IF(סיווג!B16=0,"",סיווג!B16)</f>
        <v>בית לסין</v>
      </c>
      <c r="C8" s="69">
        <v>1</v>
      </c>
      <c r="D8" s="69"/>
      <c r="E8" s="272">
        <f t="shared" si="0"/>
        <v>1</v>
      </c>
      <c r="F8" s="88">
        <f>IF(B8="","",סיווג!X16)</f>
        <v>1</v>
      </c>
      <c r="G8" s="90">
        <f t="shared" si="2"/>
        <v>1</v>
      </c>
      <c r="H8" s="91">
        <f t="shared" si="1"/>
        <v>9.569377990430622E-2</v>
      </c>
      <c r="K8">
        <f t="shared" si="3"/>
        <v>1</v>
      </c>
      <c r="L8" t="str">
        <f>IF(B8="","",IF(ISNA(MATCH(C8,{0,1,2},0)),"BAD","OK"))</f>
        <v>OK</v>
      </c>
    </row>
    <row r="9" spans="1:12">
      <c r="A9" s="80">
        <f>סיווג!A17</f>
        <v>4</v>
      </c>
      <c r="B9" s="81" t="str">
        <f>IF(סיווג!B17=0,"",סיווג!B17)</f>
        <v>חיפה</v>
      </c>
      <c r="C9" s="69">
        <v>1</v>
      </c>
      <c r="D9" s="69"/>
      <c r="E9" s="272">
        <f t="shared" si="0"/>
        <v>1</v>
      </c>
      <c r="F9" s="88">
        <f>IF(B9="","",סיווג!X17)</f>
        <v>0.8</v>
      </c>
      <c r="G9" s="90">
        <f t="shared" si="2"/>
        <v>0.8</v>
      </c>
      <c r="H9" s="91">
        <f t="shared" si="1"/>
        <v>7.6555023923444987E-2</v>
      </c>
      <c r="K9">
        <f t="shared" si="3"/>
        <v>1</v>
      </c>
      <c r="L9" t="str">
        <f>IF(B9="","",IF(ISNA(MATCH(C9,{0,1,2},0)),"BAD","OK"))</f>
        <v>OK</v>
      </c>
    </row>
    <row r="10" spans="1:12">
      <c r="A10" s="80">
        <f>סיווג!A18</f>
        <v>5</v>
      </c>
      <c r="B10" s="81" t="str">
        <f>IF(סיווג!B18=0,"",סיווג!B18)</f>
        <v>באר שבע</v>
      </c>
      <c r="C10" s="69">
        <v>1</v>
      </c>
      <c r="D10" s="69"/>
      <c r="E10" s="272">
        <f t="shared" si="0"/>
        <v>1</v>
      </c>
      <c r="F10" s="88">
        <f>IF(B10="","",סיווג!X18)</f>
        <v>0.8</v>
      </c>
      <c r="G10" s="90">
        <f t="shared" si="2"/>
        <v>0.8</v>
      </c>
      <c r="H10" s="91">
        <f t="shared" si="1"/>
        <v>7.6555023923444987E-2</v>
      </c>
      <c r="K10">
        <f t="shared" si="3"/>
        <v>1</v>
      </c>
      <c r="L10" t="str">
        <f>IF(B10="","",IF(ISNA(MATCH(C10,{0,1,2},0)),"BAD","OK"))</f>
        <v>OK</v>
      </c>
    </row>
    <row r="11" spans="1:12">
      <c r="A11" s="80">
        <f>סיווג!A19</f>
        <v>6</v>
      </c>
      <c r="B11" s="81" t="str">
        <f>IF(סיווג!B19=0,"",סיווג!B19)</f>
        <v>גשר</v>
      </c>
      <c r="C11" s="69">
        <v>0</v>
      </c>
      <c r="D11" s="69"/>
      <c r="E11" s="272">
        <f t="shared" si="0"/>
        <v>0</v>
      </c>
      <c r="F11" s="88">
        <f>IF(B11="","",סיווג!X19)</f>
        <v>0.8</v>
      </c>
      <c r="G11" s="90">
        <f t="shared" si="2"/>
        <v>0</v>
      </c>
      <c r="H11" s="91">
        <f t="shared" si="1"/>
        <v>0</v>
      </c>
      <c r="K11">
        <f t="shared" si="3"/>
        <v>0</v>
      </c>
      <c r="L11" t="str">
        <f>IF(B11="","",IF(ISNA(MATCH(C11,{0,1,2},0)),"BAD","OK"))</f>
        <v>OK</v>
      </c>
    </row>
    <row r="12" spans="1:12">
      <c r="A12" s="80">
        <f>סיווג!A20</f>
        <v>7</v>
      </c>
      <c r="B12" s="81" t="str">
        <f>IF(סיווג!B20=0,"",סיווג!B20)</f>
        <v>החאן</v>
      </c>
      <c r="C12" s="69">
        <v>1</v>
      </c>
      <c r="D12" s="69"/>
      <c r="E12" s="272">
        <f t="shared" si="0"/>
        <v>1</v>
      </c>
      <c r="F12" s="88">
        <f>IF(B12="","",סיווג!X20)</f>
        <v>0.8</v>
      </c>
      <c r="G12" s="90">
        <f t="shared" si="2"/>
        <v>0.8</v>
      </c>
      <c r="H12" s="91">
        <f t="shared" si="1"/>
        <v>7.6555023923444987E-2</v>
      </c>
      <c r="K12">
        <f t="shared" si="3"/>
        <v>1</v>
      </c>
      <c r="L12" t="str">
        <f>IF(B12="","",IF(ISNA(MATCH(C12,{0,1,2},0)),"BAD","OK"))</f>
        <v>OK</v>
      </c>
    </row>
    <row r="13" spans="1:12">
      <c r="A13" s="80">
        <f>סיווג!A21</f>
        <v>8</v>
      </c>
      <c r="B13" s="81" t="str">
        <f>IF(סיווג!B21=0,"",סיווג!B21)</f>
        <v>היידישפיל</v>
      </c>
      <c r="C13" s="69">
        <v>1</v>
      </c>
      <c r="D13" s="69"/>
      <c r="E13" s="272">
        <f t="shared" si="0"/>
        <v>1</v>
      </c>
      <c r="F13" s="88">
        <f>IF(B13="","",סיווג!X21)</f>
        <v>0.8</v>
      </c>
      <c r="G13" s="90">
        <f t="shared" si="2"/>
        <v>0.8</v>
      </c>
      <c r="H13" s="91">
        <f t="shared" si="1"/>
        <v>7.6555023923444987E-2</v>
      </c>
      <c r="K13">
        <f t="shared" si="3"/>
        <v>1</v>
      </c>
      <c r="L13" t="str">
        <f>IF(B13="","",IF(ISNA(MATCH(C13,{0,1,2},0)),"BAD","OK"))</f>
        <v>OK</v>
      </c>
    </row>
    <row r="14" spans="1:12">
      <c r="A14" s="80">
        <f>סיווג!A22</f>
        <v>9</v>
      </c>
      <c r="B14" s="81" t="str">
        <f>IF(סיווג!B22=0,"",סיווג!B22)</f>
        <v>תיאטרון אלמידאן</v>
      </c>
      <c r="C14" s="69">
        <v>1</v>
      </c>
      <c r="D14" s="69"/>
      <c r="E14" s="272">
        <f t="shared" si="0"/>
        <v>1</v>
      </c>
      <c r="F14" s="88">
        <f>IF(B14="","",סיווג!X22)</f>
        <v>0</v>
      </c>
      <c r="G14" s="90">
        <f t="shared" si="2"/>
        <v>0</v>
      </c>
      <c r="H14" s="91">
        <f t="shared" si="1"/>
        <v>0</v>
      </c>
      <c r="K14">
        <f t="shared" si="3"/>
        <v>1</v>
      </c>
      <c r="L14" t="str">
        <f>IF(B14="","",IF(ISNA(MATCH(C14,{0,1,2},0)),"BAD","OK"))</f>
        <v>OK</v>
      </c>
    </row>
    <row r="15" spans="1:12">
      <c r="A15" s="80">
        <f>סיווג!A23</f>
        <v>10</v>
      </c>
      <c r="B15" s="81" t="str">
        <f>IF(סיווג!B23=0,"",סיווג!B23)</f>
        <v>הזירה הבין תחומית</v>
      </c>
      <c r="C15" s="69">
        <v>0</v>
      </c>
      <c r="D15" s="69"/>
      <c r="E15" s="272">
        <f t="shared" si="0"/>
        <v>0</v>
      </c>
      <c r="F15" s="88">
        <f>IF(B15="","",סיווג!X23)</f>
        <v>0.25</v>
      </c>
      <c r="G15" s="90">
        <f t="shared" si="2"/>
        <v>0</v>
      </c>
      <c r="H15" s="91">
        <f t="shared" si="1"/>
        <v>0</v>
      </c>
      <c r="K15">
        <f t="shared" si="3"/>
        <v>0</v>
      </c>
      <c r="L15" t="str">
        <f>IF(B15="","",IF(ISNA(MATCH(C15,{0,1,2},0)),"BAD","OK"))</f>
        <v>OK</v>
      </c>
    </row>
    <row r="16" spans="1:12">
      <c r="A16" s="80">
        <f>סיווג!A24</f>
        <v>11</v>
      </c>
      <c r="B16" s="81" t="str">
        <f>IF(סיווג!B24=0,"",סיווג!B24)</f>
        <v>אספקלריא</v>
      </c>
      <c r="C16" s="69">
        <v>0</v>
      </c>
      <c r="D16" s="69"/>
      <c r="E16" s="272">
        <f t="shared" si="0"/>
        <v>0</v>
      </c>
      <c r="F16" s="88">
        <f>IF(B16="","",סיווג!X24)</f>
        <v>0.25</v>
      </c>
      <c r="G16" s="90">
        <f t="shared" si="2"/>
        <v>0</v>
      </c>
      <c r="H16" s="91">
        <f t="shared" si="1"/>
        <v>0</v>
      </c>
      <c r="K16">
        <f t="shared" si="3"/>
        <v>0</v>
      </c>
      <c r="L16" t="str">
        <f>IF(B16="","",IF(ISNA(MATCH(C16,{0,1,2},0)),"BAD","OK"))</f>
        <v>OK</v>
      </c>
    </row>
    <row r="17" spans="1:12">
      <c r="A17" s="80">
        <f>סיווג!A25</f>
        <v>12</v>
      </c>
      <c r="B17" s="81" t="str">
        <f>IF(סיווג!B25=0,"",סיווג!B25)</f>
        <v/>
      </c>
      <c r="C17" s="69"/>
      <c r="D17" s="69"/>
      <c r="E17" s="272" t="str">
        <f t="shared" si="0"/>
        <v/>
      </c>
      <c r="F17" s="88" t="str">
        <f>IF(B17="","",סיווג!X25)</f>
        <v/>
      </c>
      <c r="G17" s="90" t="str">
        <f t="shared" si="2"/>
        <v/>
      </c>
      <c r="H17" s="91" t="str">
        <f t="shared" si="1"/>
        <v/>
      </c>
      <c r="K17" t="str">
        <f t="shared" si="3"/>
        <v>בדוק ניקוד</v>
      </c>
      <c r="L17" t="str">
        <f>IF(B17="","",IF(ISNA(MATCH(C17,{0,1,2},0)),"BAD","OK"))</f>
        <v/>
      </c>
    </row>
    <row r="18" spans="1:12">
      <c r="A18" s="80">
        <f>סיווג!A26</f>
        <v>13</v>
      </c>
      <c r="B18" s="81" t="str">
        <f>IF(סיווג!B26=0,"",סיווג!B26)</f>
        <v>עכו</v>
      </c>
      <c r="C18" s="69">
        <v>1</v>
      </c>
      <c r="D18" s="69"/>
      <c r="E18" s="272">
        <f t="shared" si="0"/>
        <v>1</v>
      </c>
      <c r="F18" s="88">
        <f>IF(B18="","",סיווג!X26)</f>
        <v>0.25</v>
      </c>
      <c r="G18" s="90">
        <f t="shared" si="2"/>
        <v>0.25</v>
      </c>
      <c r="H18" s="91">
        <f t="shared" si="1"/>
        <v>2.3923444976076555E-2</v>
      </c>
      <c r="K18">
        <f t="shared" si="3"/>
        <v>1</v>
      </c>
      <c r="L18" t="str">
        <f>IF(B18="","",IF(ISNA(MATCH(C18,{0,1,2},0)),"BAD","OK"))</f>
        <v>OK</v>
      </c>
    </row>
    <row r="19" spans="1:12">
      <c r="A19" s="80">
        <f>סיווג!A27</f>
        <v>14</v>
      </c>
      <c r="B19" s="81" t="str">
        <f>IF(סיווג!B27=0,"",סיווג!B27)</f>
        <v>הספרייה</v>
      </c>
      <c r="C19" s="69">
        <v>1</v>
      </c>
      <c r="D19" s="69"/>
      <c r="E19" s="272">
        <f t="shared" si="0"/>
        <v>1</v>
      </c>
      <c r="F19" s="88">
        <f>IF(B19="","",סיווג!X27)</f>
        <v>0.25</v>
      </c>
      <c r="G19" s="90">
        <f t="shared" si="2"/>
        <v>0.25</v>
      </c>
      <c r="H19" s="91">
        <f t="shared" si="1"/>
        <v>2.3923444976076555E-2</v>
      </c>
      <c r="K19">
        <f t="shared" si="3"/>
        <v>1</v>
      </c>
      <c r="L19" t="str">
        <f>IF(B19="","",IF(ISNA(MATCH(C19,{0,1,2},0)),"BAD","OK"))</f>
        <v>OK</v>
      </c>
    </row>
    <row r="20" spans="1:12">
      <c r="A20" s="80">
        <f>סיווג!A28</f>
        <v>15</v>
      </c>
      <c r="B20" s="81" t="str">
        <f>IF(סיווג!B28=0,"",סיווג!B28)</f>
        <v>יפו</v>
      </c>
      <c r="C20" s="69">
        <v>2</v>
      </c>
      <c r="D20" s="69"/>
      <c r="E20" s="272">
        <f t="shared" si="0"/>
        <v>2</v>
      </c>
      <c r="F20" s="88">
        <f>IF(B20="","",סיווג!X28)</f>
        <v>0.25</v>
      </c>
      <c r="G20" s="90">
        <f t="shared" si="2"/>
        <v>0.5</v>
      </c>
      <c r="H20" s="91">
        <f t="shared" si="1"/>
        <v>4.784688995215311E-2</v>
      </c>
      <c r="K20">
        <f t="shared" si="3"/>
        <v>2</v>
      </c>
      <c r="L20" t="str">
        <f>IF(B20="","",IF(ISNA(MATCH(C20,{0,1,2},0)),"BAD","OK"))</f>
        <v>OK</v>
      </c>
    </row>
    <row r="21" spans="1:12">
      <c r="A21" s="80">
        <f>סיווג!A29</f>
        <v>16</v>
      </c>
      <c r="B21" s="81" t="str">
        <f>IF(סיווג!B29=0,"",סיווג!B29)</f>
        <v/>
      </c>
      <c r="C21" s="69"/>
      <c r="D21" s="69"/>
      <c r="E21" s="272" t="str">
        <f t="shared" si="0"/>
        <v/>
      </c>
      <c r="F21" s="88" t="str">
        <f>IF(B21="","",סיווג!X29)</f>
        <v/>
      </c>
      <c r="G21" s="90" t="str">
        <f t="shared" si="2"/>
        <v/>
      </c>
      <c r="H21" s="91" t="str">
        <f t="shared" si="1"/>
        <v/>
      </c>
      <c r="K21" t="str">
        <f t="shared" si="3"/>
        <v>בדוק ניקוד</v>
      </c>
      <c r="L21" t="str">
        <f>IF(B21="","",IF(ISNA(MATCH(C21,{0,1,2},0)),"BAD","OK"))</f>
        <v/>
      </c>
    </row>
    <row r="22" spans="1:12">
      <c r="A22" s="80">
        <f>סיווג!A30</f>
        <v>17</v>
      </c>
      <c r="B22" s="81" t="str">
        <f>IF(סיווג!B30=0,"",סיווג!B30)</f>
        <v>אינקובטור</v>
      </c>
      <c r="C22" s="69">
        <v>1</v>
      </c>
      <c r="D22" s="69"/>
      <c r="E22" s="272">
        <f t="shared" si="0"/>
        <v>1</v>
      </c>
      <c r="F22" s="88">
        <f>IF(B22="","",סיווג!X30)</f>
        <v>0.25</v>
      </c>
      <c r="G22" s="90">
        <f t="shared" si="2"/>
        <v>0.25</v>
      </c>
      <c r="H22" s="91">
        <f t="shared" si="1"/>
        <v>2.3923444976076555E-2</v>
      </c>
      <c r="K22">
        <f t="shared" si="3"/>
        <v>1</v>
      </c>
      <c r="L22" t="str">
        <f>IF(B22="","",IF(ISNA(MATCH(C22,{0,1,2},0)),"BAD","OK"))</f>
        <v>OK</v>
      </c>
    </row>
    <row r="23" spans="1:12">
      <c r="A23" s="80">
        <f>סיווג!A31</f>
        <v>18</v>
      </c>
      <c r="B23" s="81" t="str">
        <f>IF(סיווג!B31=0,"",סיווג!B31)</f>
        <v>אורנה פורת</v>
      </c>
      <c r="C23" s="69">
        <v>0</v>
      </c>
      <c r="D23" s="69"/>
      <c r="E23" s="272">
        <f t="shared" si="0"/>
        <v>0</v>
      </c>
      <c r="F23" s="88">
        <f>IF(B23="","",סיווג!X31)</f>
        <v>0.6</v>
      </c>
      <c r="G23" s="90">
        <f t="shared" si="2"/>
        <v>0</v>
      </c>
      <c r="H23" s="91">
        <f t="shared" si="1"/>
        <v>0</v>
      </c>
      <c r="K23">
        <f t="shared" si="3"/>
        <v>0</v>
      </c>
      <c r="L23" t="str">
        <f>IF(B23="","",IF(ISNA(MATCH(C23,{0,1,2},0)),"BAD","OK"))</f>
        <v>OK</v>
      </c>
    </row>
    <row r="24" spans="1:12">
      <c r="A24" s="80">
        <f>סיווג!A32</f>
        <v>19</v>
      </c>
      <c r="B24" s="81" t="str">
        <f>IF(סיווג!B32=0,"",סיווג!B32)</f>
        <v>ארצי לנוער</v>
      </c>
      <c r="C24" s="69">
        <v>1</v>
      </c>
      <c r="D24" s="69"/>
      <c r="E24" s="272">
        <f t="shared" si="0"/>
        <v>1</v>
      </c>
      <c r="F24" s="88">
        <f>IF(B24="","",סיווג!X32)</f>
        <v>0.6</v>
      </c>
      <c r="G24" s="90">
        <f t="shared" si="2"/>
        <v>0.6</v>
      </c>
      <c r="H24" s="91">
        <f t="shared" si="1"/>
        <v>5.7416267942583733E-2</v>
      </c>
      <c r="K24">
        <f t="shared" si="3"/>
        <v>1</v>
      </c>
      <c r="L24" t="str">
        <f>IF(B24="","",IF(ISNA(MATCH(C24,{0,1,2},0)),"BAD","OK"))</f>
        <v>OK</v>
      </c>
    </row>
    <row r="25" spans="1:12">
      <c r="A25" s="80">
        <f>סיווג!A33</f>
        <v>20</v>
      </c>
      <c r="B25" s="81" t="str">
        <f>IF(סיווג!B33=0,"",סיווג!B33)</f>
        <v>הקיבוץ</v>
      </c>
      <c r="C25" s="69">
        <v>0</v>
      </c>
      <c r="D25" s="69"/>
      <c r="E25" s="272">
        <f t="shared" si="0"/>
        <v>0</v>
      </c>
      <c r="F25" s="88">
        <f>IF(B25="","",סיווג!X33)</f>
        <v>0.2</v>
      </c>
      <c r="G25" s="90">
        <f t="shared" si="2"/>
        <v>0</v>
      </c>
      <c r="H25" s="91">
        <f t="shared" si="1"/>
        <v>0</v>
      </c>
      <c r="K25">
        <f t="shared" si="3"/>
        <v>0</v>
      </c>
      <c r="L25" t="str">
        <f>IF(B25="","",IF(ISNA(MATCH(C25,{0,1,2},0)),"BAD","OK"))</f>
        <v>OK</v>
      </c>
    </row>
    <row r="26" spans="1:12">
      <c r="A26" s="80">
        <f>סיווג!A34</f>
        <v>21</v>
      </c>
      <c r="B26" s="81" t="str">
        <f>IF(סיווג!B34=0,"",סיווג!B34)</f>
        <v>הקרון</v>
      </c>
      <c r="C26" s="69">
        <v>2</v>
      </c>
      <c r="D26" s="69"/>
      <c r="E26" s="272">
        <f t="shared" si="0"/>
        <v>2</v>
      </c>
      <c r="F26" s="88">
        <f>IF(B26="","",סיווג!X34)</f>
        <v>0.2</v>
      </c>
      <c r="G26" s="90">
        <f t="shared" si="2"/>
        <v>0.4</v>
      </c>
      <c r="H26" s="91">
        <f t="shared" si="1"/>
        <v>3.8277511961722493E-2</v>
      </c>
      <c r="K26">
        <f t="shared" si="3"/>
        <v>2</v>
      </c>
      <c r="L26" t="str">
        <f>IF(B26="","",IF(ISNA(MATCH(C26,{0,1,2},0)),"BAD","OK"))</f>
        <v>OK</v>
      </c>
    </row>
    <row r="27" spans="1:12">
      <c r="A27" s="80">
        <f>סיווג!A35</f>
        <v>22</v>
      </c>
      <c r="B27" s="81" t="str">
        <f>IF(סיווג!B35=0,"",סיווג!B35)</f>
        <v>בית הגפן</v>
      </c>
      <c r="C27" s="69">
        <v>0</v>
      </c>
      <c r="D27" s="69"/>
      <c r="E27" s="272">
        <f t="shared" si="0"/>
        <v>0</v>
      </c>
      <c r="F27" s="88">
        <f>IF(B27="","",סיווג!X35)</f>
        <v>0.2</v>
      </c>
      <c r="G27" s="90">
        <f t="shared" si="2"/>
        <v>0</v>
      </c>
      <c r="H27" s="91">
        <f t="shared" si="1"/>
        <v>0</v>
      </c>
      <c r="K27">
        <f t="shared" si="3"/>
        <v>0</v>
      </c>
      <c r="L27" t="str">
        <f>IF(B27="","",IF(ISNA(MATCH(C27,{0,1,2},0)),"BAD","OK"))</f>
        <v>OK</v>
      </c>
    </row>
    <row r="28" spans="1:12" ht="13.5" customHeight="1">
      <c r="A28" s="80">
        <f>סיווג!A36</f>
        <v>23</v>
      </c>
      <c r="B28" s="81" t="str">
        <f>IF(סיווג!B36=0,"",סיווג!B36)</f>
        <v>הנפש</v>
      </c>
      <c r="C28" s="69">
        <v>0</v>
      </c>
      <c r="D28" s="69"/>
      <c r="E28" s="272">
        <f t="shared" si="0"/>
        <v>0</v>
      </c>
      <c r="F28" s="88">
        <f>IF(B28="","",סיווג!X36)</f>
        <v>0.2</v>
      </c>
      <c r="G28" s="90">
        <f t="shared" si="2"/>
        <v>0</v>
      </c>
      <c r="H28" s="91">
        <f t="shared" si="1"/>
        <v>0</v>
      </c>
      <c r="K28">
        <f t="shared" si="3"/>
        <v>0</v>
      </c>
      <c r="L28" t="str">
        <f>IF(B28="","",IF(ISNA(MATCH(C28,{0,1,2},0)),"BAD","OK"))</f>
        <v>OK</v>
      </c>
    </row>
    <row r="29" spans="1:12">
      <c r="A29" s="80">
        <f>סיווג!A37</f>
        <v>24</v>
      </c>
      <c r="B29" s="81" t="str">
        <f>IF(סיווג!B37=0,"",סיווג!B37)</f>
        <v>השעה</v>
      </c>
      <c r="C29" s="69">
        <v>0</v>
      </c>
      <c r="D29" s="69"/>
      <c r="E29" s="272">
        <f t="shared" si="0"/>
        <v>0</v>
      </c>
      <c r="F29" s="88">
        <f>IF(B29="","",סיווג!X37)</f>
        <v>0.6</v>
      </c>
      <c r="G29" s="90">
        <f t="shared" si="2"/>
        <v>0</v>
      </c>
      <c r="H29" s="91">
        <f t="shared" si="1"/>
        <v>0</v>
      </c>
      <c r="K29">
        <f t="shared" si="3"/>
        <v>0</v>
      </c>
      <c r="L29" t="str">
        <f>IF(B29="","",IF(ISNA(MATCH(C29,{0,1,2},0)),"BAD","OK"))</f>
        <v>OK</v>
      </c>
    </row>
    <row r="30" spans="1:12">
      <c r="A30" s="80">
        <f>סיווג!A38</f>
        <v>25</v>
      </c>
      <c r="B30" s="81" t="str">
        <f>IF(סיווג!B38=0,"",סיווג!B38)</f>
        <v>עדי</v>
      </c>
      <c r="C30" s="69">
        <v>0</v>
      </c>
      <c r="D30" s="69"/>
      <c r="E30" s="272">
        <f t="shared" si="0"/>
        <v>0</v>
      </c>
      <c r="F30" s="88">
        <f>IF(B30="","",סיווג!X38)</f>
        <v>0.2</v>
      </c>
      <c r="G30" s="90">
        <f t="shared" si="2"/>
        <v>0</v>
      </c>
      <c r="H30" s="91">
        <f t="shared" si="1"/>
        <v>0</v>
      </c>
      <c r="K30">
        <f t="shared" si="3"/>
        <v>0</v>
      </c>
      <c r="L30" t="str">
        <f>IF(B30="","",IF(ISNA(MATCH(C30,{0,1,2},0)),"BAD","OK"))</f>
        <v>OK</v>
      </c>
    </row>
    <row r="31" spans="1:12">
      <c r="A31" s="80">
        <f>סיווג!A39</f>
        <v>26</v>
      </c>
      <c r="B31" s="81" t="str">
        <f>IF(סיווג!B39=0,"",סיווג!B39)</f>
        <v>מדייטק</v>
      </c>
      <c r="C31" s="69">
        <v>0</v>
      </c>
      <c r="D31" s="69"/>
      <c r="E31" s="272">
        <f t="shared" si="0"/>
        <v>0</v>
      </c>
      <c r="F31" s="88">
        <f>IF(B31="","",סיווג!X39)</f>
        <v>0.4</v>
      </c>
      <c r="G31" s="90">
        <f t="shared" si="2"/>
        <v>0</v>
      </c>
      <c r="H31" s="91">
        <f t="shared" si="1"/>
        <v>0</v>
      </c>
      <c r="K31">
        <f t="shared" si="3"/>
        <v>0</v>
      </c>
      <c r="L31" t="str">
        <f>IF(B31="","",IF(ISNA(MATCH(C31,{0,1,2},0)),"BAD","OK"))</f>
        <v>OK</v>
      </c>
    </row>
    <row r="32" spans="1:12">
      <c r="A32" s="80">
        <f>סיווג!A40</f>
        <v>27</v>
      </c>
      <c r="B32" s="81" t="str">
        <f>IF(סיווג!B40=0,"",סיווג!B40)</f>
        <v>חני</v>
      </c>
      <c r="C32" s="69">
        <v>0</v>
      </c>
      <c r="D32" s="69"/>
      <c r="E32" s="272">
        <f t="shared" si="0"/>
        <v>0</v>
      </c>
      <c r="F32" s="88">
        <f>IF(B32="","",סיווג!X40)</f>
        <v>0.2</v>
      </c>
      <c r="G32" s="90">
        <f t="shared" si="2"/>
        <v>0</v>
      </c>
      <c r="H32" s="91">
        <f t="shared" si="1"/>
        <v>0</v>
      </c>
      <c r="K32">
        <f t="shared" si="3"/>
        <v>0</v>
      </c>
      <c r="L32" t="str">
        <f>IF(B32="","",IF(ISNA(MATCH(C32,{0,1,2},0)),"BAD","OK"))</f>
        <v>OK</v>
      </c>
    </row>
    <row r="33" spans="1:12">
      <c r="A33" s="80">
        <f>סיווג!A41</f>
        <v>28</v>
      </c>
      <c r="B33" s="81" t="str">
        <f>IF(סיווג!B41=0,"",סיווג!B41)</f>
        <v xml:space="preserve">גשן </v>
      </c>
      <c r="C33" s="69">
        <v>0</v>
      </c>
      <c r="D33" s="69"/>
      <c r="E33" s="272">
        <f t="shared" si="0"/>
        <v>0</v>
      </c>
      <c r="F33" s="88">
        <f>IF(B33="","",סיווג!X41)</f>
        <v>0.2</v>
      </c>
      <c r="G33" s="90">
        <f t="shared" si="2"/>
        <v>0</v>
      </c>
      <c r="H33" s="91">
        <f t="shared" si="1"/>
        <v>0</v>
      </c>
      <c r="K33">
        <f t="shared" si="3"/>
        <v>0</v>
      </c>
      <c r="L33" t="str">
        <f>IF(B33="","",IF(ISNA(MATCH(C33,{0,1,2},0)),"BAD","OK"))</f>
        <v>OK</v>
      </c>
    </row>
    <row r="34" spans="1:12">
      <c r="A34" s="80">
        <f>סיווג!A42</f>
        <v>29</v>
      </c>
      <c r="B34" s="81" t="str">
        <f>IF(סיווג!B42=0,"",סיווג!B42)</f>
        <v>תיאטרון העברי</v>
      </c>
      <c r="C34" s="69">
        <v>0</v>
      </c>
      <c r="D34" s="69"/>
      <c r="E34" s="272">
        <f t="shared" si="0"/>
        <v>0</v>
      </c>
      <c r="F34" s="88">
        <f>IF(B34="","",סיווג!X42)</f>
        <v>0.25</v>
      </c>
      <c r="G34" s="90">
        <f t="shared" si="2"/>
        <v>0</v>
      </c>
      <c r="H34" s="91">
        <f t="shared" si="1"/>
        <v>0</v>
      </c>
      <c r="K34">
        <f t="shared" si="3"/>
        <v>0</v>
      </c>
      <c r="L34" t="str">
        <f>IF(B34="","",IF(ISNA(MATCH(C34,{0,1,2},0)),"BAD","OK"))</f>
        <v>OK</v>
      </c>
    </row>
    <row r="35" spans="1:12">
      <c r="A35" s="80">
        <f>סיווג!A43</f>
        <v>30</v>
      </c>
      <c r="B35" s="81" t="str">
        <f>IF(סיווג!B43=0,"",סיווג!B43)</f>
        <v>גליון ריק 2</v>
      </c>
      <c r="C35" s="69"/>
      <c r="D35" s="69"/>
      <c r="E35" s="272">
        <f t="shared" si="0"/>
        <v>0</v>
      </c>
      <c r="F35" s="88">
        <f>IF(B35="","",סיווג!X43)</f>
        <v>0</v>
      </c>
      <c r="G35" s="90">
        <f t="shared" si="2"/>
        <v>0</v>
      </c>
      <c r="H35" s="91">
        <f t="shared" si="1"/>
        <v>0</v>
      </c>
      <c r="K35">
        <f t="shared" si="3"/>
        <v>0</v>
      </c>
      <c r="L35" t="str">
        <f>IF(B35="","",IF(ISNA(MATCH(C35,{0,1,2},0)),"BAD","OK"))</f>
        <v>OK</v>
      </c>
    </row>
    <row r="36" spans="1:12">
      <c r="A36" s="80">
        <f>סיווג!A44</f>
        <v>31</v>
      </c>
      <c r="B36" s="81" t="str">
        <f>IF(סיווג!B44=0,"",סיווג!B44)</f>
        <v>גליון ריק 3</v>
      </c>
      <c r="C36" s="69"/>
      <c r="D36" s="69"/>
      <c r="E36" s="272">
        <f t="shared" si="0"/>
        <v>0</v>
      </c>
      <c r="F36" s="88">
        <f>IF(B36="","",סיווג!X44)</f>
        <v>0</v>
      </c>
      <c r="G36" s="90">
        <f t="shared" si="2"/>
        <v>0</v>
      </c>
      <c r="H36" s="91">
        <f t="shared" si="1"/>
        <v>0</v>
      </c>
      <c r="K36">
        <f t="shared" si="3"/>
        <v>0</v>
      </c>
      <c r="L36" t="str">
        <f>IF(B36="","",IF(ISNA(MATCH(C36,{0,1,2},0)),"BAD","OK"))</f>
        <v>OK</v>
      </c>
    </row>
    <row r="37" spans="1:12">
      <c r="A37" s="80">
        <f>סיווג!A45</f>
        <v>32</v>
      </c>
      <c r="B37" s="81" t="str">
        <f>IF(סיווג!B45=0,"",סיווג!B45)</f>
        <v/>
      </c>
      <c r="C37" s="69"/>
      <c r="D37" s="69"/>
      <c r="E37" s="272" t="str">
        <f t="shared" si="0"/>
        <v/>
      </c>
      <c r="F37" s="88" t="str">
        <f>IF(B37="","",סיווג!X45)</f>
        <v/>
      </c>
      <c r="G37" s="90" t="str">
        <f t="shared" si="2"/>
        <v/>
      </c>
      <c r="H37" s="91" t="str">
        <f t="shared" si="1"/>
        <v/>
      </c>
      <c r="K37" t="str">
        <f t="shared" si="3"/>
        <v>בדוק ניקוד</v>
      </c>
      <c r="L37" t="str">
        <f>IF(B37="","",IF(ISNA(MATCH(C37,{0,1,2},0)),"BAD","OK"))</f>
        <v/>
      </c>
    </row>
    <row r="38" spans="1:12" ht="13.5" thickBot="1">
      <c r="A38" s="82">
        <f>סיווג!A46</f>
        <v>33</v>
      </c>
      <c r="B38" s="83" t="str">
        <f>IF(סיווג!B46=0,"",סיווג!B46)</f>
        <v/>
      </c>
      <c r="C38" s="69"/>
      <c r="D38" s="274"/>
      <c r="E38" s="273" t="str">
        <f t="shared" si="0"/>
        <v/>
      </c>
      <c r="F38" s="89" t="str">
        <f>IF(B38="","",סיווג!X46)</f>
        <v/>
      </c>
      <c r="G38" s="90" t="str">
        <f t="shared" si="2"/>
        <v/>
      </c>
      <c r="H38" s="91" t="str">
        <f t="shared" si="1"/>
        <v/>
      </c>
      <c r="K38" t="str">
        <f t="shared" si="3"/>
        <v>בדוק ניקוד</v>
      </c>
      <c r="L38" t="str">
        <f>IF(B38="","",IF(ISNA(MATCH(C38,{0,1,2},0)),"BAD","OK"))</f>
        <v/>
      </c>
    </row>
    <row r="39" spans="1:12" ht="14.25" thickTop="1" thickBot="1">
      <c r="A39" s="618" t="s">
        <v>26</v>
      </c>
      <c r="B39" s="650"/>
      <c r="C39" s="650"/>
      <c r="D39" s="650"/>
      <c r="E39" s="650"/>
      <c r="F39" s="650"/>
      <c r="G39" s="6">
        <f>SUM(G6:G38)</f>
        <v>10.45</v>
      </c>
      <c r="H39" s="7">
        <f>SUM(H6:H38)</f>
        <v>0.99999999999999989</v>
      </c>
    </row>
    <row r="40" spans="1:12" ht="13.5" thickTop="1"/>
  </sheetData>
  <sheetProtection password="CC01" sheet="1" objects="1" scenarios="1" formatColumns="0" formatRows="0"/>
  <mergeCells count="10">
    <mergeCell ref="A3:H3"/>
    <mergeCell ref="A39:F39"/>
    <mergeCell ref="B1:C1"/>
    <mergeCell ref="B2:C2"/>
    <mergeCell ref="C4:E4"/>
    <mergeCell ref="A4:A5"/>
    <mergeCell ref="B4:B5"/>
    <mergeCell ref="F4:F5"/>
    <mergeCell ref="G4:G5"/>
    <mergeCell ref="H4:H5"/>
  </mergeCells>
  <phoneticPr fontId="5" type="noConversion"/>
  <conditionalFormatting sqref="C35:C38">
    <cfRule type="cellIs" dxfId="84" priority="4" stopIfTrue="1" operator="notEqual">
      <formula>K35</formula>
    </cfRule>
  </conditionalFormatting>
  <conditionalFormatting sqref="E6:E38">
    <cfRule type="expression" dxfId="83" priority="2" stopIfTrue="1">
      <formula>IF(E6&gt;C6,1,0)</formula>
    </cfRule>
  </conditionalFormatting>
  <conditionalFormatting sqref="C6:C34">
    <cfRule type="cellIs" dxfId="82" priority="1" stopIfTrue="1" operator="notEqual">
      <formula>K6</formula>
    </cfRule>
  </conditionalFormatting>
  <dataValidations count="1">
    <dataValidation type="list" errorStyle="warning" allowBlank="1" showInputMessage="1" showErrorMessage="1" errorTitle="טעות בהזנה" error="יש להזין ניקוד מתאים 0,1 או 2" sqref="C6:C38">
      <formula1>"0,1,2"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indexed="44"/>
    <pageSetUpPr fitToPage="1"/>
  </sheetPr>
  <dimension ref="A1:T41"/>
  <sheetViews>
    <sheetView rightToLeft="1" view="pageBreakPreview" zoomScaleSheetLayoutView="100" workbookViewId="0">
      <selection activeCell="L46" sqref="L46"/>
    </sheetView>
  </sheetViews>
  <sheetFormatPr defaultRowHeight="12.75"/>
  <cols>
    <col min="1" max="1" width="10" bestFit="1" customWidth="1"/>
    <col min="2" max="2" width="16.85546875" customWidth="1"/>
    <col min="3" max="3" width="10.28515625" bestFit="1" customWidth="1"/>
    <col min="4" max="5" width="9.7109375" customWidth="1"/>
    <col min="6" max="6" width="11.42578125" customWidth="1"/>
    <col min="7" max="13" width="9.7109375" customWidth="1"/>
    <col min="14" max="14" width="14.7109375" customWidth="1"/>
    <col min="15" max="15" width="13.42578125" customWidth="1"/>
    <col min="16" max="16" width="17.28515625" bestFit="1" customWidth="1"/>
  </cols>
  <sheetData>
    <row r="1" spans="1:20" ht="17.25" thickTop="1" thickBot="1">
      <c r="G1" s="664" t="str">
        <f>פרמטרים!B1</f>
        <v>שנת התקציב</v>
      </c>
      <c r="H1" s="665"/>
      <c r="I1" s="593">
        <f>פרמטרים!D1</f>
        <v>2018</v>
      </c>
      <c r="J1" s="594"/>
    </row>
    <row r="2" spans="1:20" ht="16.5" thickBot="1">
      <c r="G2" s="666" t="str">
        <f>פרמטרים!B2</f>
        <v>תקציב</v>
      </c>
      <c r="H2" s="667"/>
      <c r="I2" s="662">
        <f>פרמטרים!D2</f>
        <v>98822015</v>
      </c>
      <c r="J2" s="663"/>
    </row>
    <row r="3" spans="1:20" ht="14.25" thickTop="1" thickBot="1"/>
    <row r="4" spans="1:20" ht="17.25" thickTop="1" thickBot="1">
      <c r="A4" s="615" t="s">
        <v>103</v>
      </c>
      <c r="B4" s="616"/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7"/>
    </row>
    <row r="5" spans="1:20" ht="32.25" thickTop="1">
      <c r="A5" s="268" t="str">
        <f>סיווג!A12</f>
        <v>מספר סידורי</v>
      </c>
      <c r="B5" s="36" t="str">
        <f>סיווג!B12</f>
        <v>שם התיאטרון</v>
      </c>
      <c r="C5" s="36" t="s">
        <v>29</v>
      </c>
      <c r="D5" s="35" t="s">
        <v>92</v>
      </c>
      <c r="E5" s="35" t="s">
        <v>93</v>
      </c>
      <c r="F5" s="35" t="s">
        <v>94</v>
      </c>
      <c r="G5" s="35" t="s">
        <v>95</v>
      </c>
      <c r="H5" s="35" t="s">
        <v>96</v>
      </c>
      <c r="I5" s="35" t="s">
        <v>97</v>
      </c>
      <c r="J5" s="35" t="s">
        <v>98</v>
      </c>
      <c r="K5" s="35" t="s">
        <v>99</v>
      </c>
      <c r="L5" s="35" t="s">
        <v>100</v>
      </c>
      <c r="M5" s="35" t="s">
        <v>101</v>
      </c>
      <c r="N5" s="35" t="s">
        <v>102</v>
      </c>
      <c r="O5" s="36" t="s">
        <v>104</v>
      </c>
      <c r="P5" s="37" t="s">
        <v>169</v>
      </c>
    </row>
    <row r="6" spans="1:20" ht="16.5" thickBot="1">
      <c r="A6" s="264"/>
      <c r="B6" s="265"/>
      <c r="C6" s="265"/>
      <c r="D6" s="541">
        <f>פרמטרים!F13</f>
        <v>0.23</v>
      </c>
      <c r="E6" s="541">
        <f>פרמטרים!F14</f>
        <v>0.11</v>
      </c>
      <c r="F6" s="541">
        <f>פרמטרים!F15</f>
        <v>0.08</v>
      </c>
      <c r="G6" s="541">
        <f>פרמטרים!F16</f>
        <v>0.17499999999999999</v>
      </c>
      <c r="H6" s="541">
        <f>פרמטרים!F17</f>
        <v>2.5000000000000001E-2</v>
      </c>
      <c r="I6" s="541">
        <f>פרמטרים!F18</f>
        <v>0.05</v>
      </c>
      <c r="J6" s="541">
        <f>פרמטרים!F19</f>
        <v>0.11</v>
      </c>
      <c r="K6" s="541">
        <f>פרמטרים!F20</f>
        <v>0.1</v>
      </c>
      <c r="L6" s="541">
        <f>פרמטרים!F21</f>
        <v>0.04</v>
      </c>
      <c r="M6" s="541">
        <f>פרמטרים!F22</f>
        <v>0.04</v>
      </c>
      <c r="N6" s="541">
        <f>פרמטרים!F23</f>
        <v>0.04</v>
      </c>
      <c r="O6" s="38">
        <f>SUM(D6:N6)</f>
        <v>1</v>
      </c>
      <c r="P6" s="39">
        <f>פרמטרים!D2</f>
        <v>98822015</v>
      </c>
    </row>
    <row r="7" spans="1:20">
      <c r="A7" s="78">
        <f>סיווג!A14</f>
        <v>1</v>
      </c>
      <c r="B7" s="79" t="str">
        <f>IF(סיווג!B14=0,"",סיווג!B14)</f>
        <v>הבימה</v>
      </c>
      <c r="C7" s="87">
        <f>IF(B7="","",סיווג!X14)</f>
        <v>1</v>
      </c>
      <c r="D7" s="98">
        <f>הפקות!H6</f>
        <v>0.1461635055436199</v>
      </c>
      <c r="E7" s="98">
        <f>הרצות!H6</f>
        <v>0.12950349183095769</v>
      </c>
      <c r="F7" s="98">
        <f>'מיקום התיאטרון'!I11</f>
        <v>0</v>
      </c>
      <c r="G7" s="98">
        <f>'מיקום ההרצות'!Z6</f>
        <v>3.5497751155637275E-2</v>
      </c>
      <c r="H7" s="98">
        <f>וותק!F9</f>
        <v>0.12354939769668624</v>
      </c>
      <c r="I7" s="98">
        <f>'ייחוד תרבותי'!F9</f>
        <v>0</v>
      </c>
      <c r="J7" s="98">
        <f>רפרטואר!H6</f>
        <v>9.4488188976377965E-2</v>
      </c>
      <c r="K7" s="98">
        <f>'מורכבות הפקות'!H6</f>
        <v>0.12861736334405147</v>
      </c>
      <c r="L7" s="98">
        <f>'עידוד יוצרים'!H6</f>
        <v>0.11299435028248588</v>
      </c>
      <c r="M7" s="98">
        <f>'תרומה לקהילה'!H6</f>
        <v>0</v>
      </c>
      <c r="N7" s="99">
        <f>פרינג!H6</f>
        <v>0.19138755980861244</v>
      </c>
      <c r="O7" s="45">
        <f t="shared" ref="O7:O39" si="0">IF(C7="","",SUMPRODUCT($D$6:$N$6,D7:N7))</f>
        <v>9.2594545296542263E-2</v>
      </c>
      <c r="P7" s="100">
        <f>IF(O7="","",O7*$P$6)</f>
        <v>9150379.5442130789</v>
      </c>
      <c r="T7" s="3"/>
    </row>
    <row r="8" spans="1:20">
      <c r="A8" s="80">
        <f>סיווג!A15</f>
        <v>2</v>
      </c>
      <c r="B8" s="81" t="str">
        <f>IF(סיווג!B15=0,"",סיווג!B15)</f>
        <v>הקאמרי</v>
      </c>
      <c r="C8" s="88">
        <f>IF(B8="","",סיווג!X15)</f>
        <v>1</v>
      </c>
      <c r="D8" s="98">
        <f>הפקות!H7</f>
        <v>0.15509042974213091</v>
      </c>
      <c r="E8" s="98">
        <f>הרצות!H7</f>
        <v>0.20739252278382914</v>
      </c>
      <c r="F8" s="98">
        <f>'מיקום התיאטרון'!I12</f>
        <v>0</v>
      </c>
      <c r="G8" s="98">
        <f>'מיקום ההרצות'!Z7</f>
        <v>8.4000285912218309E-2</v>
      </c>
      <c r="H8" s="98">
        <f>וותק!F10</f>
        <v>0.12354939769668624</v>
      </c>
      <c r="I8" s="98">
        <f>'ייחוד תרבותי'!F10</f>
        <v>0</v>
      </c>
      <c r="J8" s="98">
        <f>רפרטואר!H7</f>
        <v>9.4488188976377965E-2</v>
      </c>
      <c r="K8" s="98">
        <f>'מורכבות הפקות'!H7</f>
        <v>0.12861736334405147</v>
      </c>
      <c r="L8" s="98">
        <f>'עידוד יוצרים'!H7</f>
        <v>0.11299435028248588</v>
      </c>
      <c r="M8" s="98">
        <f>'תרומה לקהילה'!H7</f>
        <v>8.8105726872246715E-2</v>
      </c>
      <c r="N8" s="99">
        <f>פרינג!H7</f>
        <v>0.19138755980861244</v>
      </c>
      <c r="O8" s="45">
        <f t="shared" si="0"/>
        <v>0.1152277039243072</v>
      </c>
      <c r="P8" s="100">
        <f t="shared" ref="P8:P39" si="1">IF(O8="","",O8*$P$6)</f>
        <v>11387033.885623446</v>
      </c>
      <c r="T8" s="3"/>
    </row>
    <row r="9" spans="1:20">
      <c r="A9" s="80">
        <f>סיווג!A16</f>
        <v>3</v>
      </c>
      <c r="B9" s="81" t="str">
        <f>IF(סיווג!B16=0,"",סיווג!B16)</f>
        <v>בית לסין</v>
      </c>
      <c r="C9" s="88">
        <f>IF(B9="","",סיווג!X16)</f>
        <v>1</v>
      </c>
      <c r="D9" s="98">
        <f>הפקות!H8</f>
        <v>0.12949991370639941</v>
      </c>
      <c r="E9" s="98">
        <f>הרצות!H8</f>
        <v>0.13818538150719351</v>
      </c>
      <c r="F9" s="98">
        <f>'מיקום התיאטרון'!I13</f>
        <v>0</v>
      </c>
      <c r="G9" s="98">
        <f>'מיקום ההרצות'!Z8</f>
        <v>8.7450534622672771E-2</v>
      </c>
      <c r="H9" s="98">
        <f>וותק!F11</f>
        <v>8.6484578387680366E-2</v>
      </c>
      <c r="I9" s="98">
        <f>'ייחוד תרבותי'!F11</f>
        <v>0</v>
      </c>
      <c r="J9" s="98">
        <f>רפרטואר!H8</f>
        <v>9.4488188976377965E-2</v>
      </c>
      <c r="K9" s="98">
        <f>'מורכבות הפקות'!H8</f>
        <v>6.4308681672025733E-2</v>
      </c>
      <c r="L9" s="98">
        <f>'עידוד יוצרים'!H8</f>
        <v>7.5329566854990579E-2</v>
      </c>
      <c r="M9" s="98">
        <f>'תרומה לקהילה'!H8</f>
        <v>8.8105726872246715E-2</v>
      </c>
      <c r="N9" s="99">
        <f>פרינג!H8</f>
        <v>9.569377990430622E-2</v>
      </c>
      <c r="O9" s="45">
        <f t="shared" si="0"/>
        <v>8.9641062036788802E-2</v>
      </c>
      <c r="P9" s="100">
        <f t="shared" si="1"/>
        <v>8858510.377215473</v>
      </c>
      <c r="T9" s="3"/>
    </row>
    <row r="10" spans="1:20">
      <c r="A10" s="80">
        <f>סיווג!A17</f>
        <v>4</v>
      </c>
      <c r="B10" s="81" t="str">
        <f>IF(סיווג!B17=0,"",סיווג!B17)</f>
        <v>חיפה</v>
      </c>
      <c r="C10" s="88">
        <f>IF(B10="","",סיווג!X17)</f>
        <v>0.8</v>
      </c>
      <c r="D10" s="98">
        <f>הפקות!H9</f>
        <v>5.9988930613993845E-2</v>
      </c>
      <c r="E10" s="98">
        <f>הרצות!H9</f>
        <v>3.5921114159491715E-2</v>
      </c>
      <c r="F10" s="98">
        <f>'מיקום התיאטרון'!I14</f>
        <v>0.2105263157894737</v>
      </c>
      <c r="G10" s="98">
        <f>'מיקום ההרצות'!Z9</f>
        <v>4.955811784107321E-2</v>
      </c>
      <c r="H10" s="98">
        <f>וותק!F12</f>
        <v>9.8839518157348996E-2</v>
      </c>
      <c r="I10" s="98">
        <f>'ייחוד תרבותי'!F12</f>
        <v>0</v>
      </c>
      <c r="J10" s="98">
        <f>רפרטואר!H9</f>
        <v>5.0393700787401581E-2</v>
      </c>
      <c r="K10" s="98">
        <f>'מורכבות הפקות'!H9</f>
        <v>5.1446945337620585E-2</v>
      </c>
      <c r="L10" s="98">
        <f>'עידוד יוצרים'!H9</f>
        <v>9.0395480225988714E-2</v>
      </c>
      <c r="M10" s="98">
        <f>'תרומה לקהילה'!H9</f>
        <v>7.0484581497797377E-2</v>
      </c>
      <c r="N10" s="99">
        <f>פרינג!H9</f>
        <v>7.6555023923444987E-2</v>
      </c>
      <c r="O10" s="45">
        <f t="shared" si="0"/>
        <v>6.5919945484307574E-2</v>
      </c>
      <c r="P10" s="100">
        <f t="shared" si="1"/>
        <v>6514341.8414494256</v>
      </c>
      <c r="T10" s="3"/>
    </row>
    <row r="11" spans="1:20">
      <c r="A11" s="80">
        <f>סיווג!A18</f>
        <v>5</v>
      </c>
      <c r="B11" s="81" t="str">
        <f>IF(סיווג!B18=0,"",סיווג!B18)</f>
        <v>באר שבע</v>
      </c>
      <c r="C11" s="88">
        <f>IF(B11="","",סיווג!X18)</f>
        <v>0.8</v>
      </c>
      <c r="D11" s="98">
        <f>הפקות!H10</f>
        <v>6.903488046848498E-2</v>
      </c>
      <c r="E11" s="98">
        <f>הרצות!H10</f>
        <v>3.3316002254130311E-2</v>
      </c>
      <c r="F11" s="98">
        <f>'מיקום התיאטרון'!I15</f>
        <v>0.2105263157894737</v>
      </c>
      <c r="G11" s="98">
        <f>'מיקום ההרצות'!Z10</f>
        <v>8.5035360525354653E-2</v>
      </c>
      <c r="H11" s="98">
        <f>וותק!F13</f>
        <v>8.613158010854699E-2</v>
      </c>
      <c r="I11" s="98">
        <f>'ייחוד תרבותי'!F13</f>
        <v>0</v>
      </c>
      <c r="J11" s="98">
        <f>רפרטואר!H10</f>
        <v>5.0393700787401581E-2</v>
      </c>
      <c r="K11" s="98">
        <f>'מורכבות הפקות'!H10</f>
        <v>0.10289389067524117</v>
      </c>
      <c r="L11" s="98">
        <f>'עידוד יוצרים'!H10</f>
        <v>9.0395480225988714E-2</v>
      </c>
      <c r="M11" s="98">
        <f>'תרומה לקהילה'!H10</f>
        <v>7.0484581497797377E-2</v>
      </c>
      <c r="N11" s="99">
        <f>פרינג!H10</f>
        <v>7.6555023923444987E-2</v>
      </c>
      <c r="O11" s="45">
        <f t="shared" si="0"/>
        <v>7.8749465193542048E-2</v>
      </c>
      <c r="P11" s="100">
        <f t="shared" si="1"/>
        <v>7782180.8305981904</v>
      </c>
      <c r="T11" s="3"/>
    </row>
    <row r="12" spans="1:20">
      <c r="A12" s="80">
        <f>סיווג!A19</f>
        <v>6</v>
      </c>
      <c r="B12" s="81" t="str">
        <f>IF(סיווג!B19=0,"",סיווג!B19)</f>
        <v>גשר</v>
      </c>
      <c r="C12" s="88">
        <f>IF(B12="","",סיווג!X19)</f>
        <v>0.8</v>
      </c>
      <c r="D12" s="98">
        <f>הפקות!H11</f>
        <v>6.4940397902767941E-2</v>
      </c>
      <c r="E12" s="98">
        <f>הרצות!H11</f>
        <v>2.7460495494464419E-2</v>
      </c>
      <c r="F12" s="98">
        <f>'מיקום התיאטרון'!I16</f>
        <v>0</v>
      </c>
      <c r="G12" s="98">
        <f>'מיקום ההרצות'!Z11</f>
        <v>9.9261001362305357E-3</v>
      </c>
      <c r="H12" s="98">
        <f>וותק!F14</f>
        <v>4.8007765962140944E-2</v>
      </c>
      <c r="I12" s="98">
        <f>'ייחוד תרבותי'!F14</f>
        <v>0.39441327444192437</v>
      </c>
      <c r="J12" s="98">
        <f>רפרטואר!H11</f>
        <v>7.5590551181102375E-2</v>
      </c>
      <c r="K12" s="98">
        <f>'מורכבות הפקות'!H11</f>
        <v>0.10289389067524117</v>
      </c>
      <c r="L12" s="98">
        <f>'עידוד יוצרים'!H11</f>
        <v>6.0263653483992471E-2</v>
      </c>
      <c r="M12" s="98">
        <f>'תרומה לקהילה'!H11</f>
        <v>7.0484581497797377E-2</v>
      </c>
      <c r="N12" s="99">
        <f>פרינג!H11</f>
        <v>0</v>
      </c>
      <c r="O12" s="45">
        <f t="shared" si="0"/>
        <v>6.4449150513734788E-2</v>
      </c>
      <c r="P12" s="100">
        <f t="shared" si="1"/>
        <v>6368994.9188055573</v>
      </c>
      <c r="T12" s="3"/>
    </row>
    <row r="13" spans="1:20">
      <c r="A13" s="80">
        <f>סיווג!A20</f>
        <v>7</v>
      </c>
      <c r="B13" s="81" t="str">
        <f>IF(סיווג!B20=0,"",סיווג!B20)</f>
        <v>החאן</v>
      </c>
      <c r="C13" s="88">
        <f>IF(B13="","",סיווג!X20)</f>
        <v>0.8</v>
      </c>
      <c r="D13" s="98">
        <f>הפקות!H12</f>
        <v>6.0274592188346195E-2</v>
      </c>
      <c r="E13" s="98">
        <f>הרצות!H12</f>
        <v>2.7547695892970236E-2</v>
      </c>
      <c r="F13" s="98">
        <f>'מיקום התיאטרון'!I17</f>
        <v>0.2105263157894737</v>
      </c>
      <c r="G13" s="98">
        <f>'מיקום ההרצות'!Z12</f>
        <v>5.7114886345369285E-2</v>
      </c>
      <c r="H13" s="98">
        <f>וותק!F15</f>
        <v>9.6721528482548669E-2</v>
      </c>
      <c r="I13" s="98">
        <f>'ייחוד תרבותי'!F15</f>
        <v>0</v>
      </c>
      <c r="J13" s="98">
        <f>רפרטואר!H12</f>
        <v>7.5590551181102375E-2</v>
      </c>
      <c r="K13" s="98">
        <f>'מורכבות הפקות'!H12</f>
        <v>0.10289389067524117</v>
      </c>
      <c r="L13" s="98">
        <f>'עידוד יוצרים'!H12</f>
        <v>0.12052730696798494</v>
      </c>
      <c r="M13" s="98">
        <f>'תרומה לקהילה'!H12</f>
        <v>7.0484581497797377E-2</v>
      </c>
      <c r="N13" s="99">
        <f>פרינג!H12</f>
        <v>7.6555023923444987E-2</v>
      </c>
      <c r="O13" s="45">
        <f t="shared" si="0"/>
        <v>7.5455677530222059E-2</v>
      </c>
      <c r="P13" s="100">
        <f t="shared" si="1"/>
        <v>7456682.0967267677</v>
      </c>
      <c r="T13" s="3"/>
    </row>
    <row r="14" spans="1:20">
      <c r="A14" s="80">
        <f>סיווג!A21</f>
        <v>8</v>
      </c>
      <c r="B14" s="81" t="str">
        <f>IF(סיווג!B21=0,"",סיווג!B21)</f>
        <v>היידישפיל</v>
      </c>
      <c r="C14" s="88">
        <f>IF(B14="","",סיווג!X21)</f>
        <v>0.8</v>
      </c>
      <c r="D14" s="98">
        <f>הפקות!H13</f>
        <v>6.3607310555790289E-2</v>
      </c>
      <c r="E14" s="98">
        <f>הרצות!H13</f>
        <v>3.0052527340049946E-2</v>
      </c>
      <c r="F14" s="98">
        <f>'מיקום התיאטרון'!I18</f>
        <v>0</v>
      </c>
      <c r="G14" s="98">
        <f>'מיקום ההרצות'!Z13</f>
        <v>3.1636126637397857E-2</v>
      </c>
      <c r="H14" s="98">
        <f>וותק!F16</f>
        <v>5.6479724661342282E-2</v>
      </c>
      <c r="I14" s="98">
        <f>'ייחוד תרבותי'!F16</f>
        <v>0.43164245582655081</v>
      </c>
      <c r="J14" s="98">
        <f>רפרטואר!H13</f>
        <v>5.0393700787401581E-2</v>
      </c>
      <c r="K14" s="98">
        <f>'מורכבות הפקות'!H13</f>
        <v>5.1446945337620585E-2</v>
      </c>
      <c r="L14" s="98">
        <f>'עידוד יוצרים'!H13</f>
        <v>0</v>
      </c>
      <c r="M14" s="98">
        <f>'תרומה לקהילה'!H13</f>
        <v>0</v>
      </c>
      <c r="N14" s="99">
        <f>פרינג!H13</f>
        <v>7.6555023923444987E-2</v>
      </c>
      <c r="O14" s="45">
        <f t="shared" si="0"/>
        <v>6.0216100081957019E-2</v>
      </c>
      <c r="P14" s="100">
        <f t="shared" si="1"/>
        <v>5950676.3455406576</v>
      </c>
      <c r="T14" s="3"/>
    </row>
    <row r="15" spans="1:20">
      <c r="A15" s="80">
        <f>סיווג!A22</f>
        <v>9</v>
      </c>
      <c r="B15" s="81" t="str">
        <f>IF(סיווג!B22=0,"",סיווג!B22)</f>
        <v>תיאטרון אלמידאן</v>
      </c>
      <c r="C15" s="88">
        <f>IF(B15="","",סיווג!X22)</f>
        <v>0</v>
      </c>
      <c r="D15" s="98">
        <f>הפקות!H14</f>
        <v>0</v>
      </c>
      <c r="E15" s="98">
        <f>הרצות!H14</f>
        <v>0</v>
      </c>
      <c r="F15" s="98">
        <f>'מיקום התיאטרון'!I19</f>
        <v>0</v>
      </c>
      <c r="G15" s="98">
        <f>'מיקום ההרצות'!Z14</f>
        <v>0</v>
      </c>
      <c r="H15" s="98">
        <f>וותק!F17</f>
        <v>0</v>
      </c>
      <c r="I15" s="98">
        <f>'ייחוד תרבותי'!F17</f>
        <v>0</v>
      </c>
      <c r="J15" s="98">
        <f>רפרטואר!H14</f>
        <v>0</v>
      </c>
      <c r="K15" s="98">
        <f>'מורכבות הפקות'!H14</f>
        <v>0</v>
      </c>
      <c r="L15" s="98">
        <f>'עידוד יוצרים'!H14</f>
        <v>0</v>
      </c>
      <c r="M15" s="98">
        <f>'תרומה לקהילה'!H14</f>
        <v>0</v>
      </c>
      <c r="N15" s="99">
        <f>פרינג!H14</f>
        <v>0</v>
      </c>
      <c r="O15" s="45">
        <f t="shared" si="0"/>
        <v>0</v>
      </c>
      <c r="P15" s="100">
        <f t="shared" si="1"/>
        <v>0</v>
      </c>
      <c r="T15" s="3"/>
    </row>
    <row r="16" spans="1:20">
      <c r="A16" s="80">
        <f>סיווג!A23</f>
        <v>10</v>
      </c>
      <c r="B16" s="81" t="str">
        <f>IF(סיווג!B23=0,"",סיווג!B23)</f>
        <v>הזירה הבין תחומית</v>
      </c>
      <c r="C16" s="88">
        <f>IF(B16="","",סיווג!X23)</f>
        <v>0.25</v>
      </c>
      <c r="D16" s="98">
        <f>הפקות!H15</f>
        <v>3.5112568514143222E-3</v>
      </c>
      <c r="E16" s="98">
        <f>הרצות!H15</f>
        <v>1.8731054350918386E-3</v>
      </c>
      <c r="F16" s="98">
        <f>'מיקום התיאטרון'!I20</f>
        <v>6.5789473684210523E-2</v>
      </c>
      <c r="G16" s="98">
        <f>'מיקום ההרצות'!Z15</f>
        <v>4.2072525796188615E-3</v>
      </c>
      <c r="H16" s="98">
        <f>וותק!F18</f>
        <v>9.7074526761682049E-3</v>
      </c>
      <c r="I16" s="98">
        <f>'ייחוד תרבותי'!F18</f>
        <v>0</v>
      </c>
      <c r="J16" s="98">
        <f>רפרטואר!H15</f>
        <v>0</v>
      </c>
      <c r="K16" s="98">
        <f>'מורכבות הפקות'!H15</f>
        <v>0</v>
      </c>
      <c r="L16" s="98">
        <f>'עידוד יוצרים'!H15</f>
        <v>0</v>
      </c>
      <c r="M16" s="98">
        <f>'תרומה לקהילה'!H15</f>
        <v>2.2026431718061679E-2</v>
      </c>
      <c r="N16" s="99">
        <f>פרינג!H15</f>
        <v>0</v>
      </c>
      <c r="O16" s="45">
        <f t="shared" si="0"/>
        <v>8.1368013554822122E-3</v>
      </c>
      <c r="P16" s="100">
        <f t="shared" si="1"/>
        <v>804095.10560348351</v>
      </c>
      <c r="T16" s="3"/>
    </row>
    <row r="17" spans="1:20">
      <c r="A17" s="80">
        <f>סיווג!A24</f>
        <v>11</v>
      </c>
      <c r="B17" s="81" t="str">
        <f>IF(סיווג!B24=0,"",סיווג!B24)</f>
        <v>אספקלריא</v>
      </c>
      <c r="C17" s="88">
        <f>IF(B17="","",סיווג!X24)</f>
        <v>0.25</v>
      </c>
      <c r="D17" s="98">
        <f>הפקות!H16</f>
        <v>9.9683986883372707E-3</v>
      </c>
      <c r="E17" s="98">
        <f>הרצות!H16</f>
        <v>4.2765664189085353E-3</v>
      </c>
      <c r="F17" s="98">
        <f>'מיקום התיאטרון'!I21</f>
        <v>6.5789473684210523E-2</v>
      </c>
      <c r="G17" s="98">
        <f>'מיקום ההרצות'!Z16</f>
        <v>1.181046673963259E-2</v>
      </c>
      <c r="H17" s="98">
        <f>וותק!F19</f>
        <v>6.3980938092926803E-3</v>
      </c>
      <c r="I17" s="98">
        <f>'ייחוד תרבותי'!F19</f>
        <v>6.1424039671465779E-2</v>
      </c>
      <c r="J17" s="98">
        <f>רפרטואר!H16</f>
        <v>1.5748031496062995E-2</v>
      </c>
      <c r="K17" s="98">
        <f>'מורכבות הפקות'!H16</f>
        <v>0</v>
      </c>
      <c r="L17" s="98">
        <f>'עידוד יוצרים'!H16</f>
        <v>2.8248587570621469E-2</v>
      </c>
      <c r="M17" s="98">
        <f>'תרומה לקהילה'!H16</f>
        <v>4.4052863436123357E-2</v>
      </c>
      <c r="N17" s="99">
        <f>פרינג!H16</f>
        <v>0</v>
      </c>
      <c r="O17" s="45">
        <f t="shared" si="0"/>
        <v>1.7948639412212385E-2</v>
      </c>
      <c r="P17" s="100">
        <f t="shared" si="1"/>
        <v>1773720.7132232434</v>
      </c>
      <c r="T17" s="3"/>
    </row>
    <row r="18" spans="1:20">
      <c r="A18" s="80">
        <f>סיווג!A25</f>
        <v>12</v>
      </c>
      <c r="B18" s="81" t="str">
        <f>IF(סיווג!B25=0,"",סיווג!B25)</f>
        <v/>
      </c>
      <c r="C18" s="88" t="str">
        <f>IF(B18="","",סיווג!X25)</f>
        <v/>
      </c>
      <c r="D18" s="98" t="str">
        <f>הפקות!H17</f>
        <v/>
      </c>
      <c r="E18" s="98" t="str">
        <f>הרצות!H17</f>
        <v/>
      </c>
      <c r="F18" s="98" t="str">
        <f>'מיקום התיאטרון'!I22</f>
        <v/>
      </c>
      <c r="G18" s="98" t="str">
        <f>'מיקום ההרצות'!Z17</f>
        <v/>
      </c>
      <c r="H18" s="98" t="str">
        <f>וותק!F20</f>
        <v/>
      </c>
      <c r="I18" s="98" t="str">
        <f>'ייחוד תרבותי'!F20</f>
        <v/>
      </c>
      <c r="J18" s="98" t="str">
        <f>רפרטואר!H17</f>
        <v/>
      </c>
      <c r="K18" s="98" t="str">
        <f>'מורכבות הפקות'!H17</f>
        <v/>
      </c>
      <c r="L18" s="98" t="str">
        <f>'עידוד יוצרים'!H17</f>
        <v/>
      </c>
      <c r="M18" s="98" t="str">
        <f>'תרומה לקהילה'!H17</f>
        <v/>
      </c>
      <c r="N18" s="99" t="str">
        <f>פרינג!H17</f>
        <v/>
      </c>
      <c r="O18" s="45" t="str">
        <f t="shared" si="0"/>
        <v/>
      </c>
      <c r="P18" s="100" t="str">
        <f t="shared" si="1"/>
        <v/>
      </c>
      <c r="T18" s="3"/>
    </row>
    <row r="19" spans="1:20">
      <c r="A19" s="80">
        <f>סיווג!A26</f>
        <v>13</v>
      </c>
      <c r="B19" s="81" t="str">
        <f>IF(סיווג!B26=0,"",סיווג!B26)</f>
        <v>עכו</v>
      </c>
      <c r="C19" s="88">
        <f>IF(B19="","",סיווג!X26)</f>
        <v>0.25</v>
      </c>
      <c r="D19" s="98">
        <f>הפקות!H18</f>
        <v>1.086109110818837E-2</v>
      </c>
      <c r="E19" s="98">
        <f>הרצות!H18</f>
        <v>3.6089383678483415E-3</v>
      </c>
      <c r="F19" s="98">
        <f>'מיקום התיאטרון'!I23</f>
        <v>6.5789473684210523E-2</v>
      </c>
      <c r="G19" s="98">
        <f>'מיקום ההרצות'!Z18</f>
        <v>9.877241719176897E-3</v>
      </c>
      <c r="H19" s="98">
        <f>וותק!F21</f>
        <v>1.9635529276794777E-2</v>
      </c>
      <c r="I19" s="98">
        <f>'ייחוד תרבותי'!F21</f>
        <v>5.1834942279504574E-2</v>
      </c>
      <c r="J19" s="98">
        <f>רפרטואר!H18</f>
        <v>2.3622047244094491E-2</v>
      </c>
      <c r="K19" s="98">
        <f>'מורכבות הפקות'!H18</f>
        <v>0</v>
      </c>
      <c r="L19" s="98">
        <f>'עידוד יוצרים'!H18</f>
        <v>0</v>
      </c>
      <c r="M19" s="98">
        <f>'תרומה לקהילה'!H18</f>
        <v>4.4052863436123357E-2</v>
      </c>
      <c r="N19" s="99">
        <f>פרינג!H18</f>
        <v>2.3923444976076555E-2</v>
      </c>
      <c r="O19" s="45">
        <f t="shared" si="0"/>
        <v>1.8286822250172932E-2</v>
      </c>
      <c r="P19" s="100">
        <f t="shared" si="1"/>
        <v>1807140.6227089232</v>
      </c>
      <c r="T19" s="3"/>
    </row>
    <row r="20" spans="1:20">
      <c r="A20" s="80">
        <f>סיווג!A27</f>
        <v>14</v>
      </c>
      <c r="B20" s="81" t="str">
        <f>IF(סיווג!B27=0,"",סיווג!B27)</f>
        <v>הספרייה</v>
      </c>
      <c r="C20" s="88">
        <f>IF(B20="","",סיווג!X27)</f>
        <v>0.25</v>
      </c>
      <c r="D20" s="98">
        <f>הפקות!H19</f>
        <v>1.0712309038213186E-2</v>
      </c>
      <c r="E20" s="98">
        <f>הרצות!H19</f>
        <v>5.9047613597594147E-3</v>
      </c>
      <c r="F20" s="98">
        <f>'מיקום התיאטרון'!I24</f>
        <v>0</v>
      </c>
      <c r="G20" s="98">
        <f>'מיקום ההרצות'!Z19</f>
        <v>4.5239275049665178E-5</v>
      </c>
      <c r="H20" s="98">
        <f>וותק!F22</f>
        <v>5.7362220359175754E-3</v>
      </c>
      <c r="I20" s="98">
        <f>'ייחוד תרבותי'!F22</f>
        <v>0</v>
      </c>
      <c r="J20" s="98">
        <f>רפרטואר!H19</f>
        <v>2.3622047244094491E-2</v>
      </c>
      <c r="K20" s="98">
        <f>'מורכבות הפקות'!H19</f>
        <v>1.6077170418006433E-2</v>
      </c>
      <c r="L20" s="98">
        <f>'עידוד יוצרים'!H19</f>
        <v>2.8248587570621469E-2</v>
      </c>
      <c r="M20" s="98">
        <f>'תרומה לקהילה'!H19</f>
        <v>0</v>
      </c>
      <c r="N20" s="99">
        <f>פרינג!H19</f>
        <v>2.3923444976076555E-2</v>
      </c>
      <c r="O20" s="45">
        <f t="shared" si="0"/>
        <v>9.5577007929131576E-3</v>
      </c>
      <c r="P20" s="100">
        <f t="shared" si="1"/>
        <v>944511.25112277595</v>
      </c>
      <c r="T20" s="3"/>
    </row>
    <row r="21" spans="1:20">
      <c r="A21" s="80">
        <f>סיווג!A28</f>
        <v>15</v>
      </c>
      <c r="B21" s="81" t="str">
        <f>IF(סיווג!B28=0,"",סיווג!B28)</f>
        <v>יפו</v>
      </c>
      <c r="C21" s="88">
        <f>IF(B21="","",סיווג!X28)</f>
        <v>0.25</v>
      </c>
      <c r="D21" s="98">
        <f>הפקות!H20</f>
        <v>8.4210651605953653E-3</v>
      </c>
      <c r="E21" s="98">
        <f>הרצות!H20</f>
        <v>3.0676827693102561E-3</v>
      </c>
      <c r="F21" s="98">
        <f>'מיקום התיאטרון'!I25</f>
        <v>0</v>
      </c>
      <c r="G21" s="98">
        <f>'מיקום ההרצות'!Z20</f>
        <v>8.1430695089397315E-4</v>
      </c>
      <c r="H21" s="98">
        <f>וותק!F23</f>
        <v>1.3016811543043729E-2</v>
      </c>
      <c r="I21" s="98">
        <f>'ייחוד תרבותי'!F23</f>
        <v>0</v>
      </c>
      <c r="J21" s="98">
        <f>רפרטואר!H20</f>
        <v>2.3622047244094491E-2</v>
      </c>
      <c r="K21" s="98">
        <f>'מורכבות הפקות'!H20</f>
        <v>0</v>
      </c>
      <c r="L21" s="98">
        <f>'עידוד יוצרים'!H20</f>
        <v>2.8248587570621469E-2</v>
      </c>
      <c r="M21" s="98">
        <f>'תרומה לקהילה'!H20</f>
        <v>4.4052863436123357E-2</v>
      </c>
      <c r="N21" s="99">
        <f>פרינג!H20</f>
        <v>4.784688995215311E-2</v>
      </c>
      <c r="O21" s="45">
        <f t="shared" si="0"/>
        <v>1.0146572931749913E-2</v>
      </c>
      <c r="P21" s="100">
        <f t="shared" si="1"/>
        <v>1002704.7824599838</v>
      </c>
      <c r="T21" s="3"/>
    </row>
    <row r="22" spans="1:20">
      <c r="A22" s="80">
        <f>סיווג!A29</f>
        <v>16</v>
      </c>
      <c r="B22" s="81" t="str">
        <f>IF(סיווג!B29=0,"",סיווג!B29)</f>
        <v/>
      </c>
      <c r="C22" s="88" t="str">
        <f>IF(B22="","",סיווג!X29)</f>
        <v/>
      </c>
      <c r="D22" s="98" t="str">
        <f>הפקות!H21</f>
        <v/>
      </c>
      <c r="E22" s="98" t="str">
        <f>הרצות!H21</f>
        <v/>
      </c>
      <c r="F22" s="98" t="str">
        <f>'מיקום התיאטרון'!I26</f>
        <v/>
      </c>
      <c r="G22" s="98" t="str">
        <f>'מיקום ההרצות'!Z21</f>
        <v/>
      </c>
      <c r="H22" s="98" t="str">
        <f>וותק!F24</f>
        <v/>
      </c>
      <c r="I22" s="98" t="str">
        <f>'ייחוד תרבותי'!F24</f>
        <v/>
      </c>
      <c r="J22" s="98" t="str">
        <f>רפרטואר!H21</f>
        <v/>
      </c>
      <c r="K22" s="98" t="str">
        <f>'מורכבות הפקות'!H21</f>
        <v/>
      </c>
      <c r="L22" s="98" t="str">
        <f>'עידוד יוצרים'!H21</f>
        <v/>
      </c>
      <c r="M22" s="98" t="str">
        <f>'תרומה לקהילה'!H21</f>
        <v/>
      </c>
      <c r="N22" s="99" t="str">
        <f>פרינג!H21</f>
        <v/>
      </c>
      <c r="O22" s="45" t="str">
        <f t="shared" si="0"/>
        <v/>
      </c>
      <c r="P22" s="100" t="str">
        <f t="shared" si="1"/>
        <v/>
      </c>
      <c r="T22" s="3"/>
    </row>
    <row r="23" spans="1:20">
      <c r="A23" s="80">
        <f>סיווג!A30</f>
        <v>17</v>
      </c>
      <c r="B23" s="81" t="str">
        <f>IF(סיווג!B30=0,"",סיווג!B30)</f>
        <v>אינקובטור</v>
      </c>
      <c r="C23" s="88">
        <f>IF(B23="","",סיווג!X30)</f>
        <v>0.25</v>
      </c>
      <c r="D23" s="98">
        <f>הפקות!H22</f>
        <v>1.2200129737965018E-2</v>
      </c>
      <c r="E23" s="98">
        <f>הרצות!H22</f>
        <v>5.2040925327028753E-3</v>
      </c>
      <c r="F23" s="98">
        <f>'מיקום התיאטרון'!I27</f>
        <v>6.5789473684210523E-2</v>
      </c>
      <c r="G23" s="98">
        <f>'מיקום ההרצות'!Z22</f>
        <v>1.0932824803669083E-2</v>
      </c>
      <c r="H23" s="98">
        <f>וותק!F25</f>
        <v>3.9712306402506295E-3</v>
      </c>
      <c r="I23" s="98">
        <f>'ייחוד תרבותי'!F25</f>
        <v>0</v>
      </c>
      <c r="J23" s="98">
        <f>רפרטואר!H22</f>
        <v>1.5748031496062995E-2</v>
      </c>
      <c r="K23" s="98">
        <f>'מורכבות הפקות'!H22</f>
        <v>1.6077170418006433E-2</v>
      </c>
      <c r="L23" s="98">
        <f>'עידוד יוצרים'!H22</f>
        <v>3.7664783427495289E-2</v>
      </c>
      <c r="M23" s="98">
        <f>'תרומה לקהילה'!H22</f>
        <v>4.4052863436123357E-2</v>
      </c>
      <c r="N23" s="99">
        <f>פרינג!H22</f>
        <v>2.3923444976076555E-2</v>
      </c>
      <c r="O23" s="45">
        <f t="shared" si="0"/>
        <v>1.8219807199669848E-2</v>
      </c>
      <c r="P23" s="100">
        <f t="shared" si="1"/>
        <v>1800518.0603828817</v>
      </c>
      <c r="T23" s="3"/>
    </row>
    <row r="24" spans="1:20">
      <c r="A24" s="80">
        <f>סיווג!A31</f>
        <v>18</v>
      </c>
      <c r="B24" s="81" t="str">
        <f>IF(סיווג!B31=0,"",סיווג!B31)</f>
        <v>אורנה פורת</v>
      </c>
      <c r="C24" s="88">
        <f>IF(B24="","",סיווג!X31)</f>
        <v>0.6</v>
      </c>
      <c r="D24" s="98">
        <f>הפקות!H23</f>
        <v>4.2849236152852743E-2</v>
      </c>
      <c r="E24" s="98">
        <f>הרצות!H23</f>
        <v>9.9846636299127906E-2</v>
      </c>
      <c r="F24" s="98">
        <f>'מיקום התיאטרון'!I28</f>
        <v>0</v>
      </c>
      <c r="G24" s="98">
        <f>'מיקום ההרצות'!Z23</f>
        <v>0.13280803497780108</v>
      </c>
      <c r="H24" s="98">
        <f>וותק!F26</f>
        <v>6.7775669593610741E-2</v>
      </c>
      <c r="I24" s="98">
        <f>'ייחוד תרבותי'!F26</f>
        <v>0</v>
      </c>
      <c r="J24" s="98">
        <f>רפרטואר!H23</f>
        <v>7.5590551181102361E-2</v>
      </c>
      <c r="K24" s="98">
        <f>'מורכבות הפקות'!H23</f>
        <v>7.7170418006430874E-2</v>
      </c>
      <c r="L24" s="98">
        <f>'עידוד יוצרים'!H23</f>
        <v>6.7796610169491511E-2</v>
      </c>
      <c r="M24" s="98">
        <f>'תרומה לקהילה'!H23</f>
        <v>5.2863436123348026E-2</v>
      </c>
      <c r="N24" s="99">
        <f>פרינג!H23</f>
        <v>0</v>
      </c>
      <c r="O24" s="45">
        <f t="shared" si="0"/>
        <v>6.6632656451293584E-2</v>
      </c>
      <c r="P24" s="100">
        <f t="shared" si="1"/>
        <v>6584773.3753195815</v>
      </c>
      <c r="T24" s="3"/>
    </row>
    <row r="25" spans="1:20">
      <c r="A25" s="80">
        <f>סיווג!A32</f>
        <v>19</v>
      </c>
      <c r="B25" s="81" t="str">
        <f>IF(סיווג!B32=0,"",סיווג!B32)</f>
        <v>ארצי לנוער</v>
      </c>
      <c r="C25" s="88">
        <f>IF(B25="","",סיווג!X32)</f>
        <v>0.6</v>
      </c>
      <c r="D25" s="98">
        <f>הפקות!H24</f>
        <v>3.89213895055079E-2</v>
      </c>
      <c r="E25" s="98">
        <f>הרצות!H24</f>
        <v>6.6593854333914307E-2</v>
      </c>
      <c r="F25" s="98">
        <f>'מיקום התיאטרון'!I29</f>
        <v>0</v>
      </c>
      <c r="G25" s="98">
        <f>'מיקום ההרצות'!Z24</f>
        <v>9.8969057240651512E-2</v>
      </c>
      <c r="H25" s="98">
        <f>וותק!F27</f>
        <v>3.4417332215505456E-2</v>
      </c>
      <c r="I25" s="98">
        <f>'ייחוד תרבותי'!F27</f>
        <v>0</v>
      </c>
      <c r="J25" s="98">
        <f>רפרטואר!H24</f>
        <v>3.7795275590551181E-2</v>
      </c>
      <c r="K25" s="98">
        <f>'מורכבות הפקות'!H24</f>
        <v>3.8585209003215437E-2</v>
      </c>
      <c r="L25" s="98">
        <f>'עידוד יוצרים'!H24</f>
        <v>0</v>
      </c>
      <c r="M25" s="98">
        <f>'תרומה לקהילה'!H24</f>
        <v>0.10572687224669605</v>
      </c>
      <c r="N25" s="99">
        <f>פרינג!H24</f>
        <v>5.7416267942583733E-2</v>
      </c>
      <c r="O25" s="45">
        <f t="shared" si="0"/>
        <v>4.8998988708352412E-2</v>
      </c>
      <c r="P25" s="100">
        <f t="shared" si="1"/>
        <v>4842178.7971216328</v>
      </c>
    </row>
    <row r="26" spans="1:20">
      <c r="A26" s="80">
        <f>סיווג!A33</f>
        <v>20</v>
      </c>
      <c r="B26" s="81" t="str">
        <f>IF(סיווג!B33=0,"",סיווג!B33)</f>
        <v>הקיבוץ</v>
      </c>
      <c r="C26" s="88">
        <f>IF(B26="","",סיווג!X33)</f>
        <v>0.2</v>
      </c>
      <c r="D26" s="98">
        <f>הפקות!H25</f>
        <v>8.0937446066499628E-3</v>
      </c>
      <c r="E26" s="98">
        <f>הרצות!H25</f>
        <v>7.8733784813396612E-3</v>
      </c>
      <c r="F26" s="98">
        <f>'מיקום התיאטרון'!I30</f>
        <v>0</v>
      </c>
      <c r="G26" s="98">
        <f>'מיקום ההרצות'!Z25</f>
        <v>7.2986030413459821E-3</v>
      </c>
      <c r="H26" s="98">
        <f>וותק!F28</f>
        <v>1.411993116533557E-2</v>
      </c>
      <c r="I26" s="98">
        <f>'ייחוד תרבותי'!F28</f>
        <v>0</v>
      </c>
      <c r="J26" s="98">
        <f>רפרטואר!H25</f>
        <v>1.2598425196850395E-2</v>
      </c>
      <c r="K26" s="98">
        <f>'מורכבות הפקות'!H25</f>
        <v>1.2861736334405146E-2</v>
      </c>
      <c r="L26" s="98">
        <f>'עידוד יוצרים'!H25</f>
        <v>1.5065913370998118E-2</v>
      </c>
      <c r="M26" s="98">
        <f>'תרומה לקהילה'!H25</f>
        <v>0</v>
      </c>
      <c r="N26" s="99">
        <f>פרינג!H25</f>
        <v>0</v>
      </c>
      <c r="O26" s="45">
        <f t="shared" si="0"/>
        <v>7.6325236437797738E-3</v>
      </c>
      <c r="P26" s="100">
        <f t="shared" si="1"/>
        <v>754261.36601345951</v>
      </c>
    </row>
    <row r="27" spans="1:20">
      <c r="A27" s="80">
        <f>סיווג!A34</f>
        <v>21</v>
      </c>
      <c r="B27" s="81" t="str">
        <f>IF(סיווג!B34=0,"",סיווג!B34)</f>
        <v>הקרון</v>
      </c>
      <c r="C27" s="88">
        <f>IF(B27="","",סיווג!X34)</f>
        <v>0.2</v>
      </c>
      <c r="D27" s="98">
        <f>הפקות!H26</f>
        <v>7.1415393588087905E-3</v>
      </c>
      <c r="E27" s="98">
        <f>הרצות!H26</f>
        <v>1.215764306042879E-2</v>
      </c>
      <c r="F27" s="98">
        <f>'מיקום התיאטרון'!I31</f>
        <v>5.2631578947368425E-2</v>
      </c>
      <c r="G27" s="98">
        <f>'מיקום ההרצות'!Z26</f>
        <v>4.0394450287013044E-2</v>
      </c>
      <c r="H27" s="98">
        <f>וותק!F29</f>
        <v>1.7296915677536075E-2</v>
      </c>
      <c r="I27" s="98">
        <f>'ייחוד תרבותי'!F29</f>
        <v>0</v>
      </c>
      <c r="J27" s="98">
        <f>רפרטואר!H26</f>
        <v>2.5196850393700791E-2</v>
      </c>
      <c r="K27" s="98">
        <f>'מורכבות הפקות'!H26</f>
        <v>2.5723472668810293E-2</v>
      </c>
      <c r="L27" s="98">
        <f>'עידוד יוצרים'!H26</f>
        <v>3.0131826741996236E-2</v>
      </c>
      <c r="M27" s="98">
        <f>'תרומה לקהילה'!H26</f>
        <v>3.5242290748898689E-2</v>
      </c>
      <c r="N27" s="99">
        <f>פרינג!H26</f>
        <v>3.8277511961722493E-2</v>
      </c>
      <c r="O27" s="45">
        <f t="shared" si="0"/>
        <v>2.4181938785421159E-2</v>
      </c>
      <c r="P27" s="100">
        <f t="shared" si="1"/>
        <v>2389707.9173819716</v>
      </c>
    </row>
    <row r="28" spans="1:20">
      <c r="A28" s="80">
        <f>סיווג!A35</f>
        <v>22</v>
      </c>
      <c r="B28" s="81" t="str">
        <f>IF(סיווג!B35=0,"",סיווג!B35)</f>
        <v>בית הגפן</v>
      </c>
      <c r="C28" s="88">
        <f>IF(B28="","",סיווג!X35)</f>
        <v>0.2</v>
      </c>
      <c r="D28" s="98">
        <f>הפקות!H27</f>
        <v>5.3561545191065929E-3</v>
      </c>
      <c r="E28" s="98">
        <f>הרצות!H27</f>
        <v>4.2251318088523671E-3</v>
      </c>
      <c r="F28" s="98">
        <f>'מיקום התיאטרון'!I32</f>
        <v>5.2631578947368425E-2</v>
      </c>
      <c r="G28" s="98">
        <f>'מיקום ההרצות'!Z27</f>
        <v>7.6846448551031246E-3</v>
      </c>
      <c r="H28" s="98">
        <f>וותק!F30</f>
        <v>1.6237920840135908E-2</v>
      </c>
      <c r="I28" s="98">
        <f>'ייחוד תרבותי'!F30</f>
        <v>6.0685287780554487E-2</v>
      </c>
      <c r="J28" s="98">
        <f>רפרטואר!H27</f>
        <v>6.2992125984251976E-3</v>
      </c>
      <c r="K28" s="98">
        <f>'מורכבות הפקות'!H27</f>
        <v>0</v>
      </c>
      <c r="L28" s="98">
        <f>'עידוד יוצרים'!H27</f>
        <v>0</v>
      </c>
      <c r="M28" s="98">
        <f>'תרומה לקהילה'!H27</f>
        <v>3.5242290748898689E-2</v>
      </c>
      <c r="N28" s="99">
        <f>פרינג!H27</f>
        <v>0</v>
      </c>
      <c r="O28" s="45">
        <f t="shared" si="0"/>
        <v>1.279483662961464E-2</v>
      </c>
      <c r="P28" s="100">
        <f t="shared" si="1"/>
        <v>1264411.5373343274</v>
      </c>
    </row>
    <row r="29" spans="1:20">
      <c r="A29" s="80">
        <f>סיווג!A36</f>
        <v>23</v>
      </c>
      <c r="B29" s="81" t="str">
        <f>IF(סיווג!B36=0,"",סיווג!B36)</f>
        <v>הנפש</v>
      </c>
      <c r="C29" s="88">
        <f>IF(B29="","",סיווג!X36)</f>
        <v>0.2</v>
      </c>
      <c r="D29" s="98">
        <f>הפקות!H28</f>
        <v>7.9033035570817284E-3</v>
      </c>
      <c r="E29" s="98">
        <f>הרצות!H28</f>
        <v>5.0380030236738191E-3</v>
      </c>
      <c r="F29" s="98">
        <f>'מיקום התיאטרון'!I33</f>
        <v>0</v>
      </c>
      <c r="G29" s="98">
        <f>'מיקום ההרצות'!Z28</f>
        <v>7.643627912391429E-3</v>
      </c>
      <c r="H29" s="98">
        <f>וותק!F31</f>
        <v>1.4649428584035656E-2</v>
      </c>
      <c r="I29" s="98">
        <f>'ייחוד תרבותי'!F31</f>
        <v>0</v>
      </c>
      <c r="J29" s="98">
        <f>רפרטואר!H28</f>
        <v>1.2598425196850395E-2</v>
      </c>
      <c r="K29" s="98">
        <f>'מורכבות הפקות'!H28</f>
        <v>2.5723472668810293E-2</v>
      </c>
      <c r="L29" s="98">
        <f>'עידוד יוצרים'!H28</f>
        <v>2.2598870056497179E-2</v>
      </c>
      <c r="M29" s="98">
        <f>'תרומה לקהילה'!H28</f>
        <v>1.7621145374449344E-2</v>
      </c>
      <c r="N29" s="99">
        <f>פרינג!H28</f>
        <v>0</v>
      </c>
      <c r="O29" s="45">
        <f t="shared" si="0"/>
        <v>9.6427854057747429E-3</v>
      </c>
      <c r="P29" s="100">
        <f t="shared" si="1"/>
        <v>952919.48401125276</v>
      </c>
      <c r="T29" s="20"/>
    </row>
    <row r="30" spans="1:20">
      <c r="A30" s="80">
        <f>סיווג!A37</f>
        <v>24</v>
      </c>
      <c r="B30" s="81" t="str">
        <f>IF(סיווג!B37=0,"",סיווג!B37)</f>
        <v>השעה</v>
      </c>
      <c r="C30" s="88">
        <f>IF(B30="","",סיווג!X37)</f>
        <v>0.6</v>
      </c>
      <c r="D30" s="98">
        <f>הפקות!H29</f>
        <v>4.2135082216971861E-2</v>
      </c>
      <c r="E30" s="98">
        <f>הרצות!H29</f>
        <v>0.10327524696787865</v>
      </c>
      <c r="F30" s="98">
        <f>'מיקום התיאטרון'!I34</f>
        <v>0</v>
      </c>
      <c r="G30" s="98">
        <f>'מיקום ההרצות'!Z29</f>
        <v>0.16999109992662187</v>
      </c>
      <c r="H30" s="98">
        <f>וותק!F32</f>
        <v>2.8063363191104446E-2</v>
      </c>
      <c r="I30" s="98">
        <f>'ייחוד תרבותי'!F32</f>
        <v>0</v>
      </c>
      <c r="J30" s="98">
        <f>רפרטואר!H29</f>
        <v>5.6692913385826771E-2</v>
      </c>
      <c r="K30" s="98">
        <f>'מורכבות הפקות'!H29</f>
        <v>0</v>
      </c>
      <c r="L30" s="98">
        <f>'עידוד יוצרים'!H29</f>
        <v>0</v>
      </c>
      <c r="M30" s="98">
        <f>'תרומה לקהילה'!H29</f>
        <v>0</v>
      </c>
      <c r="N30" s="99">
        <f>פרינג!H29</f>
        <v>0</v>
      </c>
      <c r="O30" s="45">
        <f t="shared" si="0"/>
        <v>5.7737593115747554E-2</v>
      </c>
      <c r="P30" s="100">
        <f t="shared" si="1"/>
        <v>5705745.2929483019</v>
      </c>
    </row>
    <row r="31" spans="1:20">
      <c r="A31" s="80">
        <f>סיווג!A38</f>
        <v>25</v>
      </c>
      <c r="B31" s="81" t="str">
        <f>IF(סיווג!B38=0,"",סיווג!B38)</f>
        <v>עדי</v>
      </c>
      <c r="C31" s="88">
        <f>IF(B31="","",סיווג!X38)</f>
        <v>0.2</v>
      </c>
      <c r="D31" s="98">
        <f>הפקות!H30</f>
        <v>5.7370366182430618E-3</v>
      </c>
      <c r="E31" s="98">
        <f>הרצות!H30</f>
        <v>6.1934083038759505E-3</v>
      </c>
      <c r="F31" s="98">
        <f>'מיקום התיאטרון'!I35</f>
        <v>0</v>
      </c>
      <c r="G31" s="98">
        <f>'מיקום ההרצות'!Z30</f>
        <v>5.6530998102061608E-3</v>
      </c>
      <c r="H31" s="98">
        <f>וותק!F33</f>
        <v>6.1774698848343123E-3</v>
      </c>
      <c r="I31" s="98">
        <f>'ייחוד תרבותי'!F33</f>
        <v>0</v>
      </c>
      <c r="J31" s="98">
        <f>רפרטואר!H30</f>
        <v>1.2598425196850395E-2</v>
      </c>
      <c r="K31" s="98">
        <f>'מורכבות הפקות'!H30</f>
        <v>0</v>
      </c>
      <c r="L31" s="98">
        <f>'עידוד יוצרים'!H30</f>
        <v>0</v>
      </c>
      <c r="M31" s="98">
        <f>'תרומה לקהילה'!H30</f>
        <v>0</v>
      </c>
      <c r="N31" s="99">
        <f>פרינג!H30</f>
        <v>0</v>
      </c>
      <c r="O31" s="45">
        <f t="shared" si="0"/>
        <v>4.5303493211827379E-3</v>
      </c>
      <c r="P31" s="100">
        <f t="shared" si="1"/>
        <v>447698.24857316032</v>
      </c>
    </row>
    <row r="32" spans="1:20">
      <c r="A32" s="80">
        <f>סיווג!A39</f>
        <v>26</v>
      </c>
      <c r="B32" s="81" t="str">
        <f>IF(סיווג!B39=0,"",סיווג!B39)</f>
        <v>מדייטק</v>
      </c>
      <c r="C32" s="88">
        <f>IF(B32="","",סיווג!X39)</f>
        <v>0.4</v>
      </c>
      <c r="D32" s="98">
        <f>הפקות!H31</f>
        <v>1.7139694461141098E-2</v>
      </c>
      <c r="E32" s="98">
        <f>הרצות!H31</f>
        <v>2.2974579993830575E-2</v>
      </c>
      <c r="F32" s="98">
        <f>'מיקום התיאטרון'!I36</f>
        <v>0</v>
      </c>
      <c r="G32" s="98">
        <f>'מיקום ההרצות'!Z31</f>
        <v>2.4682548467097321E-2</v>
      </c>
      <c r="H32" s="98">
        <f>וותק!F34</f>
        <v>1.023695009486829E-2</v>
      </c>
      <c r="I32" s="98">
        <f>'ייחוד תרבותי'!F34</f>
        <v>0</v>
      </c>
      <c r="J32" s="98">
        <f>רפרטואר!H31</f>
        <v>2.5196850393700791E-2</v>
      </c>
      <c r="K32" s="98">
        <f>'מורכבות הפקות'!H31</f>
        <v>2.5723472668810293E-2</v>
      </c>
      <c r="L32" s="98">
        <f>'עידוד יוצרים'!H31</f>
        <v>3.0131826741996236E-2</v>
      </c>
      <c r="M32" s="98">
        <f>'תרומה לקהילה'!H31</f>
        <v>3.5242290748898689E-2</v>
      </c>
      <c r="N32" s="99">
        <f>פרינג!H31</f>
        <v>0</v>
      </c>
      <c r="O32" s="45">
        <f t="shared" si="0"/>
        <v>1.9003668769321466E-2</v>
      </c>
      <c r="P32" s="100">
        <f t="shared" si="1"/>
        <v>1877980.8401769174</v>
      </c>
    </row>
    <row r="33" spans="1:16">
      <c r="A33" s="80">
        <f>סיווג!A40</f>
        <v>27</v>
      </c>
      <c r="B33" s="81" t="str">
        <f>IF(סיווג!B40=0,"",סיווג!B40)</f>
        <v>חני</v>
      </c>
      <c r="C33" s="88">
        <f>IF(B33="","",סיווג!X40)</f>
        <v>0.2</v>
      </c>
      <c r="D33" s="98">
        <f>הפקות!H32</f>
        <v>5.9274776678112963E-3</v>
      </c>
      <c r="E33" s="98">
        <f>הרצות!H32</f>
        <v>3.2277772509420374E-3</v>
      </c>
      <c r="F33" s="98">
        <f>'מיקום התיאטרון'!I37</f>
        <v>0</v>
      </c>
      <c r="G33" s="98">
        <f>'מיקום ההרצות'!Z32</f>
        <v>3.4369785231065631E-3</v>
      </c>
      <c r="H33" s="98">
        <f>וותק!F35</f>
        <v>6.1774698848343123E-3</v>
      </c>
      <c r="I33" s="98">
        <f>'ייחוד תרבותי'!F35</f>
        <v>0</v>
      </c>
      <c r="J33" s="98">
        <f>רפרטואר!H32</f>
        <v>1.2598425196850395E-2</v>
      </c>
      <c r="K33" s="98">
        <f>'מורכבות הפקות'!H32</f>
        <v>0</v>
      </c>
      <c r="L33" s="98">
        <f>'עידוד יוצרים'!H32</f>
        <v>1.5065913370998118E-2</v>
      </c>
      <c r="M33" s="98">
        <f>'תרומה לקהילה'!H32</f>
        <v>0</v>
      </c>
      <c r="N33" s="99">
        <f>פרינג!H32</f>
        <v>0</v>
      </c>
      <c r="O33" s="45">
        <f t="shared" si="0"/>
        <v>4.462746656358197E-3</v>
      </c>
      <c r="P33" s="100">
        <f t="shared" si="1"/>
        <v>441017.6170158296</v>
      </c>
    </row>
    <row r="34" spans="1:16">
      <c r="A34" s="80">
        <f>סיווג!A41</f>
        <v>28</v>
      </c>
      <c r="B34" s="81" t="str">
        <f>IF(סיווג!B41=0,"",סיווג!B41)</f>
        <v xml:space="preserve">גשן </v>
      </c>
      <c r="C34" s="88">
        <f>IF(B34="","",סיווג!X41)</f>
        <v>0.2</v>
      </c>
      <c r="D34" s="98">
        <f>הפקות!H33</f>
        <v>7.6176419827293767E-3</v>
      </c>
      <c r="E34" s="98">
        <f>הרצות!H33</f>
        <v>1.0422627631408278E-2</v>
      </c>
      <c r="F34" s="98">
        <f>'מיקום התיאטרון'!I38</f>
        <v>0</v>
      </c>
      <c r="G34" s="98">
        <f>'מיקום ההרצות'!Z33</f>
        <v>1.4159289900211206E-2</v>
      </c>
      <c r="H34" s="98">
        <f>וותק!F36</f>
        <v>3.5299827913338926E-3</v>
      </c>
      <c r="I34" s="98">
        <f>'ייחוד תרבותי'!F36</f>
        <v>0</v>
      </c>
      <c r="J34" s="98">
        <f>רפרטואר!H33</f>
        <v>1.8897637795275594E-2</v>
      </c>
      <c r="K34" s="98">
        <f>'מורכבות הפקות'!H33</f>
        <v>1.2861736334405146E-2</v>
      </c>
      <c r="L34" s="98">
        <f>'עידוד יוצרים'!H33</f>
        <v>1.5065913370998118E-2</v>
      </c>
      <c r="M34" s="98">
        <f>'תרומה לקהילה'!H33</f>
        <v>1.7621145374449344E-2</v>
      </c>
      <c r="N34" s="99">
        <f>פרינג!H33</f>
        <v>0</v>
      </c>
      <c r="O34" s="45">
        <f t="shared" si="0"/>
        <v>1.0137068138541703E-2</v>
      </c>
      <c r="P34" s="100">
        <f t="shared" si="1"/>
        <v>1001765.4996429903</v>
      </c>
    </row>
    <row r="35" spans="1:16">
      <c r="A35" s="80">
        <f>סיווג!A42</f>
        <v>29</v>
      </c>
      <c r="B35" s="81" t="str">
        <f>IF(סיווג!B42=0,"",סיווג!B42)</f>
        <v>תיאטרון העברי</v>
      </c>
      <c r="C35" s="88">
        <f>IF(B35="","",סיווג!X42)</f>
        <v>0.25</v>
      </c>
      <c r="D35" s="98">
        <f>הפקות!H34</f>
        <v>6.9034880468484975E-3</v>
      </c>
      <c r="E35" s="98">
        <f>הרצות!H34</f>
        <v>4.8573346980195706E-3</v>
      </c>
      <c r="F35" s="98">
        <f>'מיקום התיאטרון'!I39</f>
        <v>0</v>
      </c>
      <c r="G35" s="98">
        <f>'מיקום ההרצות'!Z34</f>
        <v>9.3720698144556351E-3</v>
      </c>
      <c r="H35" s="98">
        <f>וותק!F37</f>
        <v>3.0887349424171561E-3</v>
      </c>
      <c r="I35" s="98">
        <f>'ייחוד תרבותי'!F37</f>
        <v>0</v>
      </c>
      <c r="J35" s="98">
        <f>רפרטואר!H34</f>
        <v>1.5748031496062995E-2</v>
      </c>
      <c r="K35" s="98">
        <f>'מורכבות הפקות'!H34</f>
        <v>1.6077170418006433E-2</v>
      </c>
      <c r="L35" s="98">
        <f>'עידוד יוצרים'!H34</f>
        <v>1.8832391713747645E-2</v>
      </c>
      <c r="M35" s="98">
        <f>'תרומה לקהילה'!H34</f>
        <v>4.4052863436123357E-2</v>
      </c>
      <c r="N35" s="99">
        <f>פרינג!H34</f>
        <v>0</v>
      </c>
      <c r="O35" s="45">
        <f t="shared" si="0"/>
        <v>9.6948503710098857E-3</v>
      </c>
      <c r="P35" s="100">
        <f t="shared" si="1"/>
        <v>958064.64878669451</v>
      </c>
    </row>
    <row r="36" spans="1:16">
      <c r="A36" s="80">
        <f>סיווג!A43</f>
        <v>30</v>
      </c>
      <c r="B36" s="81" t="str">
        <f>IF(סיווג!B43=0,"",סיווג!B43)</f>
        <v>גליון ריק 2</v>
      </c>
      <c r="C36" s="88">
        <f>IF(B36="","",סיווג!X43)</f>
        <v>0</v>
      </c>
      <c r="D36" s="98">
        <f>הפקות!H35</f>
        <v>0</v>
      </c>
      <c r="E36" s="98">
        <f>הרצות!H35</f>
        <v>0</v>
      </c>
      <c r="F36" s="98" t="str">
        <f>'מיקום התיאטרון'!I40</f>
        <v/>
      </c>
      <c r="G36" s="98">
        <f>'מיקום ההרצות'!Z35</f>
        <v>0</v>
      </c>
      <c r="H36" s="98" t="str">
        <f>וותק!F38</f>
        <v/>
      </c>
      <c r="I36" s="98">
        <f>'ייחוד תרבותי'!F38</f>
        <v>0</v>
      </c>
      <c r="J36" s="98">
        <f>רפרטואר!H35</f>
        <v>0</v>
      </c>
      <c r="K36" s="98">
        <f>'מורכבות הפקות'!H35</f>
        <v>0</v>
      </c>
      <c r="L36" s="98">
        <f>'עידוד יוצרים'!H35</f>
        <v>0</v>
      </c>
      <c r="M36" s="98">
        <f>'תרומה לקהילה'!H35</f>
        <v>0</v>
      </c>
      <c r="N36" s="99">
        <f>פרינג!H35</f>
        <v>0</v>
      </c>
      <c r="O36" s="45">
        <f t="shared" si="0"/>
        <v>0</v>
      </c>
      <c r="P36" s="100">
        <f t="shared" si="1"/>
        <v>0</v>
      </c>
    </row>
    <row r="37" spans="1:16">
      <c r="A37" s="80">
        <f>סיווג!A44</f>
        <v>31</v>
      </c>
      <c r="B37" s="81" t="str">
        <f>IF(סיווג!B44=0,"",סיווג!B44)</f>
        <v>גליון ריק 3</v>
      </c>
      <c r="C37" s="88">
        <f>IF(B37="","",סיווג!X44)</f>
        <v>0</v>
      </c>
      <c r="D37" s="98">
        <f>הפקות!H36</f>
        <v>0</v>
      </c>
      <c r="E37" s="98">
        <f>הרצות!H36</f>
        <v>0</v>
      </c>
      <c r="F37" s="98" t="str">
        <f>'מיקום התיאטרון'!I41</f>
        <v/>
      </c>
      <c r="G37" s="98">
        <f>'מיקום ההרצות'!Z36</f>
        <v>0</v>
      </c>
      <c r="H37" s="98" t="str">
        <f>וותק!F39</f>
        <v/>
      </c>
      <c r="I37" s="98">
        <f>'ייחוד תרבותי'!F39</f>
        <v>0</v>
      </c>
      <c r="J37" s="98">
        <f>רפרטואר!H36</f>
        <v>0</v>
      </c>
      <c r="K37" s="98">
        <f>'מורכבות הפקות'!H36</f>
        <v>0</v>
      </c>
      <c r="L37" s="98">
        <f>'עידוד יוצרים'!H36</f>
        <v>0</v>
      </c>
      <c r="M37" s="98">
        <f>'תרומה לקהילה'!H36</f>
        <v>0</v>
      </c>
      <c r="N37" s="99">
        <f>פרינג!H36</f>
        <v>0</v>
      </c>
      <c r="O37" s="45">
        <f t="shared" si="0"/>
        <v>0</v>
      </c>
      <c r="P37" s="100">
        <f t="shared" si="1"/>
        <v>0</v>
      </c>
    </row>
    <row r="38" spans="1:16">
      <c r="A38" s="80">
        <f>סיווג!A45</f>
        <v>32</v>
      </c>
      <c r="B38" s="81" t="str">
        <f>IF(סיווג!B45=0,"",סיווג!B45)</f>
        <v/>
      </c>
      <c r="C38" s="88" t="str">
        <f>IF(B38="","",סיווג!X45)</f>
        <v/>
      </c>
      <c r="D38" s="98" t="str">
        <f>הפקות!H37</f>
        <v/>
      </c>
      <c r="E38" s="98" t="str">
        <f>הרצות!H37</f>
        <v/>
      </c>
      <c r="F38" s="98" t="str">
        <f>'מיקום התיאטרון'!I42</f>
        <v/>
      </c>
      <c r="G38" s="98" t="str">
        <f>'מיקום ההרצות'!Z37</f>
        <v/>
      </c>
      <c r="H38" s="98" t="str">
        <f>וותק!F40</f>
        <v/>
      </c>
      <c r="I38" s="98" t="str">
        <f>'ייחוד תרבותי'!F40</f>
        <v/>
      </c>
      <c r="J38" s="98" t="str">
        <f>רפרטואר!H37</f>
        <v/>
      </c>
      <c r="K38" s="98" t="str">
        <f>'מורכבות הפקות'!H37</f>
        <v/>
      </c>
      <c r="L38" s="98" t="str">
        <f>'עידוד יוצרים'!H37</f>
        <v/>
      </c>
      <c r="M38" s="98" t="str">
        <f>'תרומה לקהילה'!H37</f>
        <v/>
      </c>
      <c r="N38" s="99" t="str">
        <f>פרינג!H37</f>
        <v/>
      </c>
      <c r="O38" s="45" t="str">
        <f t="shared" si="0"/>
        <v/>
      </c>
      <c r="P38" s="100" t="str">
        <f t="shared" si="1"/>
        <v/>
      </c>
    </row>
    <row r="39" spans="1:16" ht="13.5" thickBot="1">
      <c r="A39" s="82">
        <f>סיווג!A46</f>
        <v>33</v>
      </c>
      <c r="B39" s="83" t="str">
        <f>IF(סיווג!B46=0,"",סיווג!B46)</f>
        <v/>
      </c>
      <c r="C39" s="89" t="str">
        <f>IF(B39="","",סיווג!X46)</f>
        <v/>
      </c>
      <c r="D39" s="98" t="str">
        <f>הפקות!H38</f>
        <v/>
      </c>
      <c r="E39" s="98" t="str">
        <f>הרצות!H38</f>
        <v/>
      </c>
      <c r="F39" s="98" t="str">
        <f>'מיקום התיאטרון'!I43</f>
        <v/>
      </c>
      <c r="G39" s="98" t="str">
        <f>'מיקום ההרצות'!Z38</f>
        <v/>
      </c>
      <c r="H39" s="98" t="str">
        <f>וותק!F41</f>
        <v/>
      </c>
      <c r="I39" s="98" t="str">
        <f>'ייחוד תרבותי'!F41</f>
        <v/>
      </c>
      <c r="J39" s="98" t="str">
        <f>רפרטואר!H38</f>
        <v/>
      </c>
      <c r="K39" s="98" t="str">
        <f>'מורכבות הפקות'!H38</f>
        <v/>
      </c>
      <c r="L39" s="98" t="str">
        <f>'עידוד יוצרים'!H38</f>
        <v/>
      </c>
      <c r="M39" s="98" t="str">
        <f>'תרומה לקהילה'!H38</f>
        <v/>
      </c>
      <c r="N39" s="99" t="str">
        <f>פרינג!H38</f>
        <v/>
      </c>
      <c r="O39" s="45" t="str">
        <f t="shared" si="0"/>
        <v/>
      </c>
      <c r="P39" s="100" t="str">
        <f t="shared" si="1"/>
        <v/>
      </c>
    </row>
    <row r="40" spans="1:16" ht="14.25" thickTop="1" thickBot="1">
      <c r="A40" s="266" t="s">
        <v>26</v>
      </c>
      <c r="B40" s="267"/>
      <c r="C40" s="267"/>
      <c r="D40" s="40">
        <f>SUM(D7:D39)</f>
        <v>0.99999999999999989</v>
      </c>
      <c r="E40" s="40">
        <f>SUM(E7:E39)</f>
        <v>1</v>
      </c>
      <c r="F40" s="40">
        <f t="shared" ref="F40:P40" si="2">SUM(F7:F39)</f>
        <v>1</v>
      </c>
      <c r="G40" s="40">
        <f>SUM(G7:G39)</f>
        <v>0.99999999999999978</v>
      </c>
      <c r="H40" s="40">
        <f t="shared" si="2"/>
        <v>1.0000000000000002</v>
      </c>
      <c r="I40" s="40">
        <f t="shared" si="2"/>
        <v>1</v>
      </c>
      <c r="J40" s="40">
        <f>SUM(J7:J39)</f>
        <v>1</v>
      </c>
      <c r="K40" s="40">
        <f>SUM(K7:K39)</f>
        <v>0.99999999999999989</v>
      </c>
      <c r="L40" s="40">
        <f>SUM(L7:L39)</f>
        <v>0.99999999999999989</v>
      </c>
      <c r="M40" s="40">
        <f>SUM(M7:M39)</f>
        <v>1.0000000000000004</v>
      </c>
      <c r="N40" s="40">
        <f>SUM(N7:N39)</f>
        <v>0.99999999999999989</v>
      </c>
      <c r="O40" s="40">
        <f t="shared" si="2"/>
        <v>1</v>
      </c>
      <c r="P40" s="41">
        <f t="shared" si="2"/>
        <v>98822014.99999997</v>
      </c>
    </row>
    <row r="41" spans="1:16" ht="13.5" thickTop="1"/>
  </sheetData>
  <sheetProtection password="CC01" sheet="1" objects="1" scenarios="1" formatColumns="0" formatRows="0"/>
  <mergeCells count="5">
    <mergeCell ref="A4:P4"/>
    <mergeCell ref="I1:J1"/>
    <mergeCell ref="I2:J2"/>
    <mergeCell ref="G1:H1"/>
    <mergeCell ref="G2:H2"/>
  </mergeCells>
  <phoneticPr fontId="5" type="noConversion"/>
  <printOptions horizontalCentered="1"/>
  <pageMargins left="0.19685039370078741" right="0.19685039370078741" top="0.78740157480314965" bottom="0.59055118110236227" header="0.19685039370078741" footer="0.19685039370078741"/>
  <pageSetup paperSize="9" scale="56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indexed="44"/>
    <pageSetUpPr fitToPage="1"/>
  </sheetPr>
  <dimension ref="A1:N45"/>
  <sheetViews>
    <sheetView rightToLeft="1" view="pageBreakPreview" zoomScale="80" zoomScaleSheetLayoutView="80" workbookViewId="0">
      <selection activeCell="B22" sqref="B22"/>
    </sheetView>
  </sheetViews>
  <sheetFormatPr defaultRowHeight="12.75" outlineLevelRow="1"/>
  <cols>
    <col min="1" max="1" width="10" bestFit="1" customWidth="1"/>
    <col min="2" max="2" width="26.5703125" customWidth="1"/>
    <col min="3" max="3" width="15" bestFit="1" customWidth="1"/>
    <col min="4" max="4" width="16.85546875" bestFit="1" customWidth="1"/>
    <col min="5" max="5" width="17.5703125" customWidth="1"/>
    <col min="6" max="7" width="20.42578125" customWidth="1"/>
    <col min="8" max="8" width="21.85546875" customWidth="1"/>
    <col min="9" max="9" width="11.140625" bestFit="1" customWidth="1"/>
    <col min="10" max="10" width="15.28515625" customWidth="1"/>
    <col min="12" max="12" width="10.7109375" hidden="1" customWidth="1"/>
    <col min="13" max="14" width="9.140625" hidden="1" customWidth="1"/>
  </cols>
  <sheetData>
    <row r="1" spans="1:14" ht="17.25" outlineLevel="1" thickTop="1" thickBot="1">
      <c r="B1" s="615" t="str">
        <f>פרמטרים!A56</f>
        <v>תאגיד מוסדי או תיאטרון לאומי</v>
      </c>
      <c r="C1" s="616"/>
      <c r="D1" s="617"/>
      <c r="E1" s="615" t="str">
        <f>פרמטרים!D56</f>
        <v>תוספת בגין מקורות אחרים</v>
      </c>
      <c r="F1" s="617"/>
    </row>
    <row r="2" spans="1:14" ht="33" outlineLevel="1" thickTop="1" thickBot="1">
      <c r="B2" s="4" t="str">
        <f>פרמטרים!A57</f>
        <v>סוג</v>
      </c>
      <c r="C2" s="2" t="str">
        <f>פרמטרים!B57</f>
        <v>שיעור תמיכה</v>
      </c>
      <c r="D2" s="5" t="str">
        <f>פרמטרים!C57</f>
        <v>סימול</v>
      </c>
      <c r="E2" s="4" t="str">
        <f>פרמטרים!D57</f>
        <v>מכפלת השקלים שמזכה בתוספת</v>
      </c>
      <c r="F2" s="5" t="str">
        <f>פרמטרים!E57</f>
        <v>התוספת לכל מכפלה</v>
      </c>
    </row>
    <row r="3" spans="1:14" ht="13.5" outlineLevel="1" thickBot="1">
      <c r="B3" s="52" t="str">
        <f>פרמטרים!A58</f>
        <v>תאגיד מוסדי</v>
      </c>
      <c r="C3" s="53">
        <f>פרמטרים!B58</f>
        <v>0.5</v>
      </c>
      <c r="D3" s="141">
        <f>פרמטרים!C58</f>
        <v>1</v>
      </c>
      <c r="E3" s="50">
        <f>פרמטרים!D58</f>
        <v>1</v>
      </c>
      <c r="F3" s="51">
        <f>פרמטרים!E58</f>
        <v>0.5</v>
      </c>
    </row>
    <row r="4" spans="1:14" ht="13.5" outlineLevel="1" thickTop="1">
      <c r="B4" s="54" t="str">
        <f>פרמטרים!A59</f>
        <v>אינו תאגיד מוסדי</v>
      </c>
      <c r="C4" s="55">
        <f>פרמטרים!B59</f>
        <v>0.85</v>
      </c>
      <c r="D4" s="142">
        <f>פרמטרים!C59</f>
        <v>0</v>
      </c>
    </row>
    <row r="5" spans="1:14" ht="13.5" outlineLevel="1" thickBot="1">
      <c r="B5" s="56" t="str">
        <f>פרמטרים!A60</f>
        <v>תיאטרון לאומי</v>
      </c>
      <c r="C5" s="57">
        <f>פרמטרים!B60</f>
        <v>2</v>
      </c>
      <c r="D5" s="143">
        <f>פרמטרים!C60</f>
        <v>2</v>
      </c>
    </row>
    <row r="6" spans="1:14" ht="17.25" thickTop="1" thickBot="1">
      <c r="B6" s="620" t="str">
        <f>פרמטרים!B1</f>
        <v>שנת התקציב</v>
      </c>
      <c r="C6" s="621"/>
      <c r="D6" s="152">
        <f>פרמטרים!D1</f>
        <v>2018</v>
      </c>
    </row>
    <row r="7" spans="1:14" ht="18.75" thickBot="1">
      <c r="B7" s="668" t="str">
        <f>פרמטרים!B2</f>
        <v>תקציב</v>
      </c>
      <c r="C7" s="669"/>
      <c r="D7" s="140">
        <f>פרמטרים!D2</f>
        <v>98822015</v>
      </c>
    </row>
    <row r="8" spans="1:14" ht="14.25" thickTop="1" thickBot="1"/>
    <row r="9" spans="1:14" ht="17.25" thickTop="1" thickBot="1">
      <c r="A9" s="615" t="s">
        <v>120</v>
      </c>
      <c r="B9" s="616"/>
      <c r="C9" s="616"/>
      <c r="D9" s="616"/>
      <c r="E9" s="616"/>
      <c r="F9" s="616"/>
      <c r="G9" s="616"/>
      <c r="H9" s="616"/>
      <c r="I9" s="616"/>
      <c r="J9" s="617"/>
    </row>
    <row r="10" spans="1:14" ht="52.5" customHeight="1" thickTop="1" thickBot="1">
      <c r="A10" s="4" t="str">
        <f>סיווג!A12</f>
        <v>מספר סידורי</v>
      </c>
      <c r="B10" s="2" t="str">
        <f>סיווג!B12</f>
        <v>שם התיאטרון</v>
      </c>
      <c r="C10" s="2" t="s">
        <v>106</v>
      </c>
      <c r="D10" s="2" t="s">
        <v>163</v>
      </c>
      <c r="E10" s="2" t="s">
        <v>121</v>
      </c>
      <c r="F10" s="2" t="s">
        <v>109</v>
      </c>
      <c r="G10" s="2" t="s">
        <v>113</v>
      </c>
      <c r="H10" s="2" t="s">
        <v>122</v>
      </c>
      <c r="I10" s="2" t="s">
        <v>154</v>
      </c>
      <c r="J10" s="5" t="s">
        <v>168</v>
      </c>
    </row>
    <row r="11" spans="1:14">
      <c r="A11" s="78">
        <f>סיווג!A14</f>
        <v>1</v>
      </c>
      <c r="B11" s="79" t="str">
        <f>IF(סיווג!B14=0,"",סיווג!B14)</f>
        <v>הבימה</v>
      </c>
      <c r="C11" s="103">
        <f>'התחשיב הבסיסי'!P7</f>
        <v>9150379.5442130789</v>
      </c>
      <c r="D11" s="66">
        <v>2</v>
      </c>
      <c r="E11" s="104">
        <f>IF(OR(C11="",M11="BAD"),"",IF(D11=$D$5,$C$5*C11,IF(D11=$D$3,$C$3*C11,$C$4*C11)))</f>
        <v>18300759.088426158</v>
      </c>
      <c r="F11" s="64"/>
      <c r="G11" s="105">
        <f t="shared" ref="G11:G43" si="0">IF(OR(B11="",ISERR(F11/3),F11&lt;0),"",ROUNDDOWN(F11/$E$3,0)*$F$3)</f>
        <v>0</v>
      </c>
      <c r="H11" s="47">
        <f t="shared" ref="H11:H43" si="1">IF(OR(E11="",G11=""),"",IF(D11=$D$5,E11,MIN(C11,E11+G11)))</f>
        <v>18300759.088426158</v>
      </c>
      <c r="I11" s="94">
        <f>IF(ISERR(H11/$H$44),"",H11/$H$44)</f>
        <v>0.17694067509091552</v>
      </c>
      <c r="J11" s="107">
        <f t="shared" ref="J11:J43" si="2">IF(I11="","",I11*$D$7)</f>
        <v>17485634.047944579</v>
      </c>
      <c r="L11">
        <f>IF(M11="OK",D11,"בדוק מוסדי")</f>
        <v>2</v>
      </c>
      <c r="M11" t="str">
        <f>IF(ISNA(MATCH(D11,{0,1,2},0)),"BAD",IF(AND(D11=2,B11&lt;&gt;"הבימה"),"BAD","OK"))</f>
        <v>OK</v>
      </c>
      <c r="N11" s="3">
        <f>IF(L11=2,0,"a")</f>
        <v>0</v>
      </c>
    </row>
    <row r="12" spans="1:14">
      <c r="A12" s="80">
        <f>סיווג!A15</f>
        <v>2</v>
      </c>
      <c r="B12" s="81" t="str">
        <f>IF(סיווג!B15=0,"",סיווג!B15)</f>
        <v>הקאמרי</v>
      </c>
      <c r="C12" s="103">
        <f>'התחשיב הבסיסי'!P8</f>
        <v>11387033.885623446</v>
      </c>
      <c r="D12" s="69">
        <v>1</v>
      </c>
      <c r="E12" s="104">
        <f>IF(OR(C12="",M12="BAD"),"",IF(D12=$D$5,$C$5*C12,IF(D12=$D$3,$C$3*C12,$C$4*C12)))</f>
        <v>5693516.9428117229</v>
      </c>
      <c r="F12" s="64">
        <v>10160000</v>
      </c>
      <c r="G12" s="105">
        <f t="shared" si="0"/>
        <v>5080000</v>
      </c>
      <c r="H12" s="47">
        <f t="shared" si="1"/>
        <v>10773516.942811724</v>
      </c>
      <c r="I12" s="99">
        <f t="shared" ref="I12:I43" si="3">IF(ISERR(H12/$H$44),"",H12/$H$44)</f>
        <v>0.10416362248985049</v>
      </c>
      <c r="J12" s="107">
        <f t="shared" si="2"/>
        <v>10293659.064146342</v>
      </c>
      <c r="L12">
        <f t="shared" ref="L12:L43" si="4">IF(M12="OK",D12,"בדוק מוסדי")</f>
        <v>1</v>
      </c>
      <c r="M12" t="str">
        <f>IF(ISNA(MATCH(D12,{0,1,2},0)),"BAD",IF(AND(D12=2,B12&lt;&gt;"הבימה"),"BAD","OK"))</f>
        <v>OK</v>
      </c>
      <c r="N12" s="3" t="str">
        <f t="shared" ref="N12:N43" si="5">IF(L12=2,0,"a")</f>
        <v>a</v>
      </c>
    </row>
    <row r="13" spans="1:14">
      <c r="A13" s="80">
        <f>סיווג!A16</f>
        <v>3</v>
      </c>
      <c r="B13" s="81" t="str">
        <f>IF(סיווג!B16=0,"",סיווג!B16)</f>
        <v>בית לסין</v>
      </c>
      <c r="C13" s="103">
        <f>'התחשיב הבסיסי'!P9</f>
        <v>8858510.377215473</v>
      </c>
      <c r="D13" s="67"/>
      <c r="E13" s="104">
        <f>IF(OR(C13="",M13="BAD"),"",IF(D13=$D$5,$C$5*C13,IF(D13=$D$3,$C$3*C13,$C$4*C13)))</f>
        <v>7529733.8206331516</v>
      </c>
      <c r="F13" s="64">
        <f>3062000+860000</f>
        <v>3922000</v>
      </c>
      <c r="G13" s="105">
        <f t="shared" si="0"/>
        <v>1961000</v>
      </c>
      <c r="H13" s="47">
        <f t="shared" si="1"/>
        <v>8858510.377215473</v>
      </c>
      <c r="I13" s="99">
        <f t="shared" si="3"/>
        <v>8.5648403919795196E-2</v>
      </c>
      <c r="J13" s="107">
        <f t="shared" si="2"/>
        <v>8463947.8568880595</v>
      </c>
      <c r="L13">
        <f t="shared" si="4"/>
        <v>0</v>
      </c>
      <c r="M13" t="str">
        <f>IF(ISNA(MATCH(D13,{0,1,2},0)),"BAD",IF(AND(D13=2,B13&lt;&gt;"הבימה"),"BAD","OK"))</f>
        <v>OK</v>
      </c>
      <c r="N13" s="3" t="str">
        <f t="shared" si="5"/>
        <v>a</v>
      </c>
    </row>
    <row r="14" spans="1:14">
      <c r="A14" s="80">
        <f>סיווג!A17</f>
        <v>4</v>
      </c>
      <c r="B14" s="81" t="str">
        <f>IF(סיווג!B17=0,"",סיווג!B17)</f>
        <v>חיפה</v>
      </c>
      <c r="C14" s="103">
        <f>'התחשיב הבסיסי'!P10</f>
        <v>6514341.8414494256</v>
      </c>
      <c r="D14" s="67">
        <v>1</v>
      </c>
      <c r="E14" s="104">
        <f t="shared" ref="E14:E43" si="6">IF(OR(C14="",M14="BAD"),"",IF(D14=$D$5,$C$5*C14,IF(D14=$D$3,$C$3*C14,$C$4*C14)))</f>
        <v>3257170.9207247128</v>
      </c>
      <c r="F14" s="64">
        <f>7746000+480000+800000</f>
        <v>9026000</v>
      </c>
      <c r="G14" s="105">
        <f t="shared" si="0"/>
        <v>4513000</v>
      </c>
      <c r="H14" s="47">
        <f t="shared" si="1"/>
        <v>6514341.8414494256</v>
      </c>
      <c r="I14" s="99">
        <f t="shared" si="3"/>
        <v>6.298383786320777E-2</v>
      </c>
      <c r="J14" s="107">
        <f t="shared" si="2"/>
        <v>6224189.770075486</v>
      </c>
      <c r="L14">
        <f t="shared" si="4"/>
        <v>1</v>
      </c>
      <c r="M14" t="str">
        <f>IF(ISNA(MATCH(D14,{0,1,2},0)),"BAD",IF(AND(D14=2,B14&lt;&gt;"הבימה"),"BAD","OK"))</f>
        <v>OK</v>
      </c>
      <c r="N14" s="3" t="str">
        <f t="shared" si="5"/>
        <v>a</v>
      </c>
    </row>
    <row r="15" spans="1:14">
      <c r="A15" s="80">
        <f>סיווג!A18</f>
        <v>5</v>
      </c>
      <c r="B15" s="81" t="str">
        <f>IF(סיווג!B18=0,"",סיווג!B18)</f>
        <v>באר שבע</v>
      </c>
      <c r="C15" s="103">
        <f>'התחשיב הבסיסי'!P11</f>
        <v>7782180.8305981904</v>
      </c>
      <c r="D15" s="67"/>
      <c r="E15" s="104">
        <f t="shared" si="6"/>
        <v>6614853.7060084613</v>
      </c>
      <c r="F15" s="64">
        <v>5238441</v>
      </c>
      <c r="G15" s="105">
        <f t="shared" si="0"/>
        <v>2619220.5</v>
      </c>
      <c r="H15" s="47">
        <f t="shared" si="1"/>
        <v>7782180.8305981904</v>
      </c>
      <c r="I15" s="99">
        <f t="shared" si="3"/>
        <v>7.5241924293537293E-2</v>
      </c>
      <c r="J15" s="107">
        <f t="shared" si="2"/>
        <v>7435558.5711648064</v>
      </c>
      <c r="L15">
        <f t="shared" si="4"/>
        <v>0</v>
      </c>
      <c r="M15" t="str">
        <f>IF(ISNA(MATCH(D15,{0,1,2},0)),"BAD",IF(AND(D15=2,B15&lt;&gt;"הבימה"),"BAD","OK"))</f>
        <v>OK</v>
      </c>
      <c r="N15" s="3" t="str">
        <f t="shared" si="5"/>
        <v>a</v>
      </c>
    </row>
    <row r="16" spans="1:14">
      <c r="A16" s="80">
        <f>סיווג!A19</f>
        <v>6</v>
      </c>
      <c r="B16" s="81" t="str">
        <f>IF(סיווג!B19=0,"",סיווג!B19)</f>
        <v>גשר</v>
      </c>
      <c r="C16" s="103">
        <f>'התחשיב הבסיסי'!P12</f>
        <v>6368994.9188055573</v>
      </c>
      <c r="D16" s="67"/>
      <c r="E16" s="104">
        <f t="shared" si="6"/>
        <v>5413645.6809847234</v>
      </c>
      <c r="F16" s="64">
        <v>1788000</v>
      </c>
      <c r="G16" s="105">
        <f t="shared" si="0"/>
        <v>894000</v>
      </c>
      <c r="H16" s="47">
        <f t="shared" si="1"/>
        <v>6307645.6809847234</v>
      </c>
      <c r="I16" s="99">
        <f t="shared" si="3"/>
        <v>6.0985398454513826E-2</v>
      </c>
      <c r="J16" s="107">
        <f t="shared" si="2"/>
        <v>6026699.9608529424</v>
      </c>
      <c r="L16">
        <f t="shared" si="4"/>
        <v>0</v>
      </c>
      <c r="M16" t="str">
        <f>IF(ISNA(MATCH(D16,{0,1,2},0)),"BAD",IF(AND(D16=2,B16&lt;&gt;"הבימה"),"BAD","OK"))</f>
        <v>OK</v>
      </c>
      <c r="N16" s="3" t="str">
        <f t="shared" si="5"/>
        <v>a</v>
      </c>
    </row>
    <row r="17" spans="1:14">
      <c r="A17" s="80">
        <f>סיווג!A20</f>
        <v>7</v>
      </c>
      <c r="B17" s="81" t="str">
        <f>IF(סיווג!B20=0,"",סיווג!B20)</f>
        <v>החאן</v>
      </c>
      <c r="C17" s="103">
        <f>'התחשיב הבסיסי'!P13</f>
        <v>7456682.0967267677</v>
      </c>
      <c r="D17" s="67"/>
      <c r="E17" s="104">
        <f t="shared" si="6"/>
        <v>6338179.7822177522</v>
      </c>
      <c r="F17" s="64">
        <f>3949064+52466+1018046</f>
        <v>5019576</v>
      </c>
      <c r="G17" s="105">
        <f t="shared" si="0"/>
        <v>2509788</v>
      </c>
      <c r="H17" s="47">
        <f t="shared" si="1"/>
        <v>7456682.0967267677</v>
      </c>
      <c r="I17" s="99">
        <f t="shared" si="3"/>
        <v>7.2094843594088506E-2</v>
      </c>
      <c r="J17" s="107">
        <f t="shared" si="2"/>
        <v>7124557.7150776684</v>
      </c>
      <c r="L17">
        <f t="shared" si="4"/>
        <v>0</v>
      </c>
      <c r="M17" t="str">
        <f>IF(ISNA(MATCH(D17,{0,1,2},0)),"BAD",IF(AND(D17=2,B17&lt;&gt;"הבימה"),"BAD","OK"))</f>
        <v>OK</v>
      </c>
      <c r="N17" s="3" t="str">
        <f t="shared" si="5"/>
        <v>a</v>
      </c>
    </row>
    <row r="18" spans="1:14">
      <c r="A18" s="80">
        <f>סיווג!A21</f>
        <v>8</v>
      </c>
      <c r="B18" s="81" t="str">
        <f>IF(סיווג!B21=0,"",סיווג!B21)</f>
        <v>היידישפיל</v>
      </c>
      <c r="C18" s="103">
        <f>'התחשיב הבסיסי'!P14</f>
        <v>5950676.3455406576</v>
      </c>
      <c r="D18" s="67"/>
      <c r="E18" s="104">
        <f t="shared" si="6"/>
        <v>5058074.893709559</v>
      </c>
      <c r="F18" s="64">
        <v>230000</v>
      </c>
      <c r="G18" s="105">
        <f t="shared" si="0"/>
        <v>115000</v>
      </c>
      <c r="H18" s="47">
        <f t="shared" si="1"/>
        <v>5173074.893709559</v>
      </c>
      <c r="I18" s="99">
        <f t="shared" si="3"/>
        <v>5.0015814074494347E-2</v>
      </c>
      <c r="J18" s="107">
        <f t="shared" si="2"/>
        <v>4942663.5287068915</v>
      </c>
      <c r="L18">
        <f t="shared" si="4"/>
        <v>0</v>
      </c>
      <c r="M18" t="str">
        <f>IF(ISNA(MATCH(D18,{0,1,2},0)),"BAD",IF(AND(D18=2,B18&lt;&gt;"הבימה"),"BAD","OK"))</f>
        <v>OK</v>
      </c>
      <c r="N18" s="3" t="str">
        <f t="shared" si="5"/>
        <v>a</v>
      </c>
    </row>
    <row r="19" spans="1:14">
      <c r="A19" s="80">
        <f>סיווג!A22</f>
        <v>9</v>
      </c>
      <c r="B19" s="81" t="str">
        <f>IF(סיווג!B22=0,"",סיווג!B22)</f>
        <v>תיאטרון אלמידאן</v>
      </c>
      <c r="C19" s="103">
        <f>'התחשיב הבסיסי'!P15</f>
        <v>0</v>
      </c>
      <c r="D19" s="67"/>
      <c r="E19" s="104">
        <f t="shared" si="6"/>
        <v>0</v>
      </c>
      <c r="F19" s="64">
        <v>686854</v>
      </c>
      <c r="G19" s="105">
        <f t="shared" si="0"/>
        <v>343427</v>
      </c>
      <c r="H19" s="47">
        <f t="shared" si="1"/>
        <v>0</v>
      </c>
      <c r="I19" s="99">
        <f t="shared" si="3"/>
        <v>0</v>
      </c>
      <c r="J19" s="107">
        <f t="shared" si="2"/>
        <v>0</v>
      </c>
      <c r="L19">
        <f t="shared" si="4"/>
        <v>0</v>
      </c>
      <c r="M19" t="str">
        <f>IF(ISNA(MATCH(D19,{0,1,2},0)),"BAD",IF(AND(D19=2,B19&lt;&gt;"הבימה"),"BAD","OK"))</f>
        <v>OK</v>
      </c>
      <c r="N19" s="3" t="str">
        <f t="shared" si="5"/>
        <v>a</v>
      </c>
    </row>
    <row r="20" spans="1:14">
      <c r="A20" s="80">
        <f>סיווג!A23</f>
        <v>10</v>
      </c>
      <c r="B20" s="81" t="str">
        <f>IF(סיווג!B23=0,"",סיווג!B23)</f>
        <v>הזירה הבין תחומית</v>
      </c>
      <c r="C20" s="103">
        <f>'התחשיב הבסיסי'!P16</f>
        <v>804095.10560348351</v>
      </c>
      <c r="D20" s="67"/>
      <c r="E20" s="104">
        <f t="shared" si="6"/>
        <v>683480.83976296091</v>
      </c>
      <c r="F20" s="64">
        <f>614740+182641</f>
        <v>797381</v>
      </c>
      <c r="G20" s="105">
        <f t="shared" si="0"/>
        <v>398690.5</v>
      </c>
      <c r="H20" s="47">
        <f t="shared" si="1"/>
        <v>804095.10560348351</v>
      </c>
      <c r="I20" s="99">
        <f t="shared" si="3"/>
        <v>7.7743841190041603E-3</v>
      </c>
      <c r="J20" s="107">
        <f t="shared" si="2"/>
        <v>768280.30402399087</v>
      </c>
      <c r="L20">
        <f t="shared" si="4"/>
        <v>0</v>
      </c>
      <c r="M20" t="str">
        <f>IF(ISNA(MATCH(D20,{0,1,2},0)),"BAD",IF(AND(D20=2,B20&lt;&gt;"הבימה"),"BAD","OK"))</f>
        <v>OK</v>
      </c>
      <c r="N20" s="3" t="str">
        <f t="shared" si="5"/>
        <v>a</v>
      </c>
    </row>
    <row r="21" spans="1:14">
      <c r="A21" s="80">
        <f>סיווג!A24</f>
        <v>11</v>
      </c>
      <c r="B21" s="81" t="str">
        <f>IF(סיווג!B24=0,"",סיווג!B24)</f>
        <v>אספקלריא</v>
      </c>
      <c r="C21" s="103">
        <f>'התחשיב הבסיסי'!P17</f>
        <v>1773720.7132232434</v>
      </c>
      <c r="D21" s="67"/>
      <c r="E21" s="104">
        <f t="shared" si="6"/>
        <v>1507662.6062397568</v>
      </c>
      <c r="F21" s="64">
        <f>126841+581468</f>
        <v>708309</v>
      </c>
      <c r="G21" s="105">
        <f t="shared" si="0"/>
        <v>354154.5</v>
      </c>
      <c r="H21" s="47">
        <f t="shared" si="1"/>
        <v>1773720.7132232434</v>
      </c>
      <c r="I21" s="99">
        <f t="shared" si="3"/>
        <v>1.7149197959714303E-2</v>
      </c>
      <c r="J21" s="107">
        <f t="shared" si="2"/>
        <v>1694718.2980128562</v>
      </c>
      <c r="L21">
        <f t="shared" si="4"/>
        <v>0</v>
      </c>
      <c r="M21" t="str">
        <f>IF(ISNA(MATCH(D21,{0,1,2},0)),"BAD",IF(AND(D21=2,B21&lt;&gt;"הבימה"),"BAD","OK"))</f>
        <v>OK</v>
      </c>
      <c r="N21" s="3" t="str">
        <f t="shared" si="5"/>
        <v>a</v>
      </c>
    </row>
    <row r="22" spans="1:14">
      <c r="A22" s="80">
        <f>סיווג!A25</f>
        <v>12</v>
      </c>
      <c r="B22" s="81" t="str">
        <f>IF(סיווג!B25=0,"",סיווג!B25)</f>
        <v/>
      </c>
      <c r="C22" s="103" t="str">
        <f>'התחשיב הבסיסי'!P18</f>
        <v/>
      </c>
      <c r="D22" s="67"/>
      <c r="E22" s="104" t="str">
        <f t="shared" si="6"/>
        <v/>
      </c>
      <c r="F22" s="64"/>
      <c r="G22" s="105" t="str">
        <f t="shared" si="0"/>
        <v/>
      </c>
      <c r="H22" s="47" t="str">
        <f t="shared" si="1"/>
        <v/>
      </c>
      <c r="I22" s="99" t="str">
        <f t="shared" si="3"/>
        <v/>
      </c>
      <c r="J22" s="107" t="str">
        <f t="shared" si="2"/>
        <v/>
      </c>
      <c r="L22">
        <f t="shared" si="4"/>
        <v>0</v>
      </c>
      <c r="M22" t="str">
        <f>IF(ISNA(MATCH(D22,{0,1,2},0)),"BAD",IF(AND(D22=2,B22&lt;&gt;"הבימה"),"BAD","OK"))</f>
        <v>OK</v>
      </c>
      <c r="N22" s="3" t="str">
        <f t="shared" si="5"/>
        <v>a</v>
      </c>
    </row>
    <row r="23" spans="1:14">
      <c r="A23" s="80">
        <f>סיווג!A26</f>
        <v>13</v>
      </c>
      <c r="B23" s="81" t="str">
        <f>IF(סיווג!B26=0,"",סיווג!B26)</f>
        <v>עכו</v>
      </c>
      <c r="C23" s="103">
        <f>'התחשיב הבסיסי'!P19</f>
        <v>1807140.6227089232</v>
      </c>
      <c r="D23" s="67"/>
      <c r="E23" s="104">
        <f t="shared" si="6"/>
        <v>1536069.5293025847</v>
      </c>
      <c r="F23" s="64">
        <f>199800-110000</f>
        <v>89800</v>
      </c>
      <c r="G23" s="105">
        <f t="shared" si="0"/>
        <v>44900</v>
      </c>
      <c r="H23" s="47">
        <f t="shared" si="1"/>
        <v>1580969.5293025847</v>
      </c>
      <c r="I23" s="99">
        <f t="shared" si="3"/>
        <v>1.5285585393552294E-2</v>
      </c>
      <c r="J23" s="107">
        <f t="shared" si="2"/>
        <v>1510552.3490454056</v>
      </c>
      <c r="L23">
        <f t="shared" si="4"/>
        <v>0</v>
      </c>
      <c r="M23" t="str">
        <f>IF(ISNA(MATCH(D23,{0,1,2},0)),"BAD",IF(AND(D23=2,B23&lt;&gt;"הבימה"),"BAD","OK"))</f>
        <v>OK</v>
      </c>
      <c r="N23" s="3" t="str">
        <f t="shared" si="5"/>
        <v>a</v>
      </c>
    </row>
    <row r="24" spans="1:14">
      <c r="A24" s="80">
        <f>סיווג!A27</f>
        <v>14</v>
      </c>
      <c r="B24" s="81" t="str">
        <f>IF(סיווג!B27=0,"",סיווג!B27)</f>
        <v>הספרייה</v>
      </c>
      <c r="C24" s="103">
        <f>'התחשיב הבסיסי'!P20</f>
        <v>944511.25112277595</v>
      </c>
      <c r="D24" s="67"/>
      <c r="E24" s="104">
        <f t="shared" si="6"/>
        <v>802834.56345435954</v>
      </c>
      <c r="F24" s="64">
        <v>180000</v>
      </c>
      <c r="G24" s="105">
        <f t="shared" si="0"/>
        <v>90000</v>
      </c>
      <c r="H24" s="47">
        <f t="shared" si="1"/>
        <v>892834.56345435954</v>
      </c>
      <c r="I24" s="99">
        <f t="shared" si="3"/>
        <v>8.6323605288059768E-3</v>
      </c>
      <c r="J24" s="107">
        <f t="shared" si="2"/>
        <v>853067.26166307216</v>
      </c>
      <c r="L24">
        <f t="shared" si="4"/>
        <v>0</v>
      </c>
      <c r="M24" t="str">
        <f>IF(ISNA(MATCH(D24,{0,1,2},0)),"BAD",IF(AND(D24=2,B24&lt;&gt;"הבימה"),"BAD","OK"))</f>
        <v>OK</v>
      </c>
      <c r="N24" s="3" t="str">
        <f t="shared" si="5"/>
        <v>a</v>
      </c>
    </row>
    <row r="25" spans="1:14">
      <c r="A25" s="80">
        <f>סיווג!A28</f>
        <v>15</v>
      </c>
      <c r="B25" s="81" t="str">
        <f>IF(סיווג!B28=0,"",סיווג!B28)</f>
        <v>יפו</v>
      </c>
      <c r="C25" s="103">
        <f>'התחשיב הבסיסי'!P21</f>
        <v>1002704.7824599838</v>
      </c>
      <c r="D25" s="67"/>
      <c r="E25" s="104">
        <f t="shared" si="6"/>
        <v>852299.0650909862</v>
      </c>
      <c r="F25" s="64">
        <v>109000</v>
      </c>
      <c r="G25" s="105">
        <f t="shared" si="0"/>
        <v>54500</v>
      </c>
      <c r="H25" s="47">
        <f t="shared" si="1"/>
        <v>906799.0650909862</v>
      </c>
      <c r="I25" s="99">
        <f t="shared" si="3"/>
        <v>8.7673761494670658E-3</v>
      </c>
      <c r="J25" s="107">
        <f t="shared" si="2"/>
        <v>866409.77735327662</v>
      </c>
      <c r="L25">
        <f t="shared" si="4"/>
        <v>0</v>
      </c>
      <c r="M25" t="str">
        <f>IF(ISNA(MATCH(D25,{0,1,2},0)),"BAD",IF(AND(D25=2,B25&lt;&gt;"הבימה"),"BAD","OK"))</f>
        <v>OK</v>
      </c>
      <c r="N25" s="3" t="str">
        <f t="shared" si="5"/>
        <v>a</v>
      </c>
    </row>
    <row r="26" spans="1:14">
      <c r="A26" s="80">
        <f>סיווג!A29</f>
        <v>16</v>
      </c>
      <c r="B26" s="81" t="str">
        <f>IF(סיווג!B29=0,"",סיווג!B29)</f>
        <v/>
      </c>
      <c r="C26" s="103" t="str">
        <f>'התחשיב הבסיסי'!P22</f>
        <v/>
      </c>
      <c r="D26" s="67"/>
      <c r="E26" s="104" t="str">
        <f t="shared" si="6"/>
        <v/>
      </c>
      <c r="F26" s="64"/>
      <c r="G26" s="105" t="str">
        <f t="shared" si="0"/>
        <v/>
      </c>
      <c r="H26" s="47" t="str">
        <f t="shared" si="1"/>
        <v/>
      </c>
      <c r="I26" s="99" t="str">
        <f t="shared" si="3"/>
        <v/>
      </c>
      <c r="J26" s="107" t="str">
        <f t="shared" si="2"/>
        <v/>
      </c>
      <c r="L26">
        <f t="shared" si="4"/>
        <v>0</v>
      </c>
      <c r="M26" t="str">
        <f>IF(ISNA(MATCH(D26,{0,1,2},0)),"BAD",IF(AND(D26=2,B26&lt;&gt;"הבימה"),"BAD","OK"))</f>
        <v>OK</v>
      </c>
      <c r="N26" s="3" t="str">
        <f t="shared" si="5"/>
        <v>a</v>
      </c>
    </row>
    <row r="27" spans="1:14">
      <c r="A27" s="80">
        <f>סיווג!A30</f>
        <v>17</v>
      </c>
      <c r="B27" s="81" t="str">
        <f>IF(סיווג!B30=0,"",סיווג!B30)</f>
        <v>אינקובטור</v>
      </c>
      <c r="C27" s="103">
        <f>'התחשיב הבסיסי'!P23</f>
        <v>1800518.0603828817</v>
      </c>
      <c r="D27" s="67"/>
      <c r="E27" s="104">
        <f t="shared" si="6"/>
        <v>1530440.3513254493</v>
      </c>
      <c r="F27" s="64">
        <f>466971+671555</f>
        <v>1138526</v>
      </c>
      <c r="G27" s="105">
        <f t="shared" si="0"/>
        <v>569263</v>
      </c>
      <c r="H27" s="47">
        <f t="shared" si="1"/>
        <v>1800518.0603828817</v>
      </c>
      <c r="I27" s="99">
        <f t="shared" si="3"/>
        <v>1.7408287797144636E-2</v>
      </c>
      <c r="J27" s="107">
        <f t="shared" si="2"/>
        <v>1720322.0778137443</v>
      </c>
      <c r="L27">
        <f t="shared" si="4"/>
        <v>0</v>
      </c>
      <c r="M27" t="str">
        <f>IF(ISNA(MATCH(D27,{0,1,2},0)),"BAD",IF(AND(D27=2,B27&lt;&gt;"הבימה"),"BAD","OK"))</f>
        <v>OK</v>
      </c>
      <c r="N27" s="3" t="str">
        <f t="shared" si="5"/>
        <v>a</v>
      </c>
    </row>
    <row r="28" spans="1:14">
      <c r="A28" s="80">
        <f>סיווג!A31</f>
        <v>18</v>
      </c>
      <c r="B28" s="81" t="str">
        <f>IF(סיווג!B31=0,"",סיווג!B31)</f>
        <v>אורנה פורת</v>
      </c>
      <c r="C28" s="103">
        <f>'התחשיב הבסיסי'!P24</f>
        <v>6584773.3753195815</v>
      </c>
      <c r="D28" s="67"/>
      <c r="E28" s="104">
        <f t="shared" si="6"/>
        <v>5597057.3690216439</v>
      </c>
      <c r="F28" s="64">
        <v>477000</v>
      </c>
      <c r="G28" s="105">
        <f t="shared" si="0"/>
        <v>238500</v>
      </c>
      <c r="H28" s="47">
        <f t="shared" si="1"/>
        <v>5835557.3690216439</v>
      </c>
      <c r="I28" s="99">
        <f t="shared" si="3"/>
        <v>5.6421018134677509E-2</v>
      </c>
      <c r="J28" s="107">
        <f t="shared" si="2"/>
        <v>5575638.7004203731</v>
      </c>
      <c r="L28">
        <f t="shared" si="4"/>
        <v>0</v>
      </c>
      <c r="M28" t="str">
        <f>IF(ISNA(MATCH(D28,{0,1,2},0)),"BAD",IF(AND(D28=2,B28&lt;&gt;"הבימה"),"BAD","OK"))</f>
        <v>OK</v>
      </c>
      <c r="N28" s="3" t="str">
        <f t="shared" si="5"/>
        <v>a</v>
      </c>
    </row>
    <row r="29" spans="1:14">
      <c r="A29" s="80">
        <f>סיווג!A32</f>
        <v>19</v>
      </c>
      <c r="B29" s="81" t="str">
        <f>IF(סיווג!B32=0,"",סיווג!B32)</f>
        <v>ארצי לנוער</v>
      </c>
      <c r="C29" s="103">
        <f>'התחשיב הבסיסי'!P25</f>
        <v>4842178.7971216328</v>
      </c>
      <c r="D29" s="67"/>
      <c r="E29" s="104">
        <f t="shared" si="6"/>
        <v>4115851.9775533876</v>
      </c>
      <c r="F29" s="64">
        <v>220000</v>
      </c>
      <c r="G29" s="105">
        <f t="shared" si="0"/>
        <v>110000</v>
      </c>
      <c r="H29" s="47">
        <f t="shared" si="1"/>
        <v>4225851.9775533881</v>
      </c>
      <c r="I29" s="99">
        <f t="shared" si="3"/>
        <v>4.0857600394043563E-2</v>
      </c>
      <c r="J29" s="107">
        <f t="shared" si="2"/>
        <v>4037630.3990041791</v>
      </c>
      <c r="L29">
        <f t="shared" si="4"/>
        <v>0</v>
      </c>
      <c r="M29" t="str">
        <f>IF(ISNA(MATCH(D29,{0,1,2},0)),"BAD",IF(AND(D29=2,B29&lt;&gt;"הבימה"),"BAD","OK"))</f>
        <v>OK</v>
      </c>
      <c r="N29" s="3" t="str">
        <f t="shared" si="5"/>
        <v>a</v>
      </c>
    </row>
    <row r="30" spans="1:14">
      <c r="A30" s="80">
        <f>סיווג!A33</f>
        <v>20</v>
      </c>
      <c r="B30" s="81" t="str">
        <f>IF(סיווג!B33=0,"",סיווג!B33)</f>
        <v>הקיבוץ</v>
      </c>
      <c r="C30" s="103">
        <f>'התחשיב הבסיסי'!P26</f>
        <v>754261.36601345951</v>
      </c>
      <c r="D30" s="67"/>
      <c r="E30" s="104">
        <f t="shared" si="6"/>
        <v>641122.16111144063</v>
      </c>
      <c r="F30" s="64">
        <f>58000+7000</f>
        <v>65000</v>
      </c>
      <c r="G30" s="105">
        <f t="shared" si="0"/>
        <v>32500</v>
      </c>
      <c r="H30" s="47">
        <f t="shared" si="1"/>
        <v>673622.16111144063</v>
      </c>
      <c r="I30" s="99">
        <f t="shared" si="3"/>
        <v>6.5129079819775965E-3</v>
      </c>
      <c r="J30" s="107">
        <f t="shared" si="2"/>
        <v>643618.69028860983</v>
      </c>
      <c r="L30">
        <f t="shared" si="4"/>
        <v>0</v>
      </c>
      <c r="M30" t="str">
        <f>IF(ISNA(MATCH(D30,{0,1,2},0)),"BAD",IF(AND(D30=2,B30&lt;&gt;"הבימה"),"BAD","OK"))</f>
        <v>OK</v>
      </c>
      <c r="N30" s="3" t="str">
        <f t="shared" si="5"/>
        <v>a</v>
      </c>
    </row>
    <row r="31" spans="1:14">
      <c r="A31" s="80">
        <f>סיווג!A34</f>
        <v>21</v>
      </c>
      <c r="B31" s="81" t="str">
        <f>IF(סיווג!B34=0,"",סיווג!B34)</f>
        <v>הקרון</v>
      </c>
      <c r="C31" s="103">
        <f>'התחשיב הבסיסי'!P27</f>
        <v>2389707.9173819716</v>
      </c>
      <c r="D31" s="67"/>
      <c r="E31" s="104">
        <f t="shared" si="6"/>
        <v>2031251.7297746758</v>
      </c>
      <c r="F31" s="64">
        <f>1084371+338413</f>
        <v>1422784</v>
      </c>
      <c r="G31" s="105">
        <f t="shared" si="0"/>
        <v>711392</v>
      </c>
      <c r="H31" s="47">
        <f t="shared" si="1"/>
        <v>2389707.9173819716</v>
      </c>
      <c r="I31" s="99">
        <f t="shared" si="3"/>
        <v>2.3104863034839024E-2</v>
      </c>
      <c r="J31" s="107">
        <f t="shared" si="2"/>
        <v>2283269.1214018078</v>
      </c>
      <c r="L31">
        <f t="shared" si="4"/>
        <v>0</v>
      </c>
      <c r="M31" t="str">
        <f>IF(ISNA(MATCH(D31,{0,1,2},0)),"BAD",IF(AND(D31=2,B31&lt;&gt;"הבימה"),"BAD","OK"))</f>
        <v>OK</v>
      </c>
      <c r="N31" s="3" t="str">
        <f t="shared" si="5"/>
        <v>a</v>
      </c>
    </row>
    <row r="32" spans="1:14">
      <c r="A32" s="80">
        <f>סיווג!A35</f>
        <v>22</v>
      </c>
      <c r="B32" s="81" t="str">
        <f>IF(סיווג!B35=0,"",סיווג!B35)</f>
        <v>בית הגפן</v>
      </c>
      <c r="C32" s="103">
        <f>'התחשיב הבסיסי'!P28</f>
        <v>1264411.5373343274</v>
      </c>
      <c r="D32" s="67"/>
      <c r="E32" s="104">
        <f t="shared" si="6"/>
        <v>1074749.8067341782</v>
      </c>
      <c r="F32" s="64">
        <v>900000</v>
      </c>
      <c r="G32" s="105">
        <f t="shared" si="0"/>
        <v>450000</v>
      </c>
      <c r="H32" s="47">
        <f t="shared" si="1"/>
        <v>1264411.5373343274</v>
      </c>
      <c r="I32" s="99">
        <f t="shared" si="3"/>
        <v>1.2224948152569684E-2</v>
      </c>
      <c r="J32" s="107">
        <f t="shared" si="2"/>
        <v>1208094.0097074637</v>
      </c>
      <c r="L32">
        <f t="shared" si="4"/>
        <v>0</v>
      </c>
      <c r="M32" t="str">
        <f>IF(ISNA(MATCH(D32,{0,1,2},0)),"BAD",IF(AND(D32=2,B32&lt;&gt;"הבימה"),"BAD","OK"))</f>
        <v>OK</v>
      </c>
      <c r="N32" s="3" t="str">
        <f t="shared" si="5"/>
        <v>a</v>
      </c>
    </row>
    <row r="33" spans="1:14">
      <c r="A33" s="80">
        <f>סיווג!A36</f>
        <v>23</v>
      </c>
      <c r="B33" s="81" t="str">
        <f>IF(סיווג!B36=0,"",סיווג!B36)</f>
        <v>הנפש</v>
      </c>
      <c r="C33" s="103">
        <f>'התחשיב הבסיסי'!P29</f>
        <v>952919.48401125276</v>
      </c>
      <c r="D33" s="67"/>
      <c r="E33" s="104">
        <f t="shared" si="6"/>
        <v>809981.56140956481</v>
      </c>
      <c r="F33" s="64">
        <v>105000</v>
      </c>
      <c r="G33" s="105">
        <f t="shared" si="0"/>
        <v>52500</v>
      </c>
      <c r="H33" s="47">
        <f t="shared" si="1"/>
        <v>862481.56140956481</v>
      </c>
      <c r="I33" s="99">
        <f t="shared" si="3"/>
        <v>8.3388928837267919E-3</v>
      </c>
      <c r="J33" s="107">
        <f t="shared" si="2"/>
        <v>824066.19763904228</v>
      </c>
      <c r="L33">
        <f t="shared" si="4"/>
        <v>0</v>
      </c>
      <c r="M33" t="str">
        <f>IF(ISNA(MATCH(D33,{0,1,2},0)),"BAD",IF(AND(D33=2,B33&lt;&gt;"הבימה"),"BAD","OK"))</f>
        <v>OK</v>
      </c>
      <c r="N33" s="3" t="str">
        <f t="shared" si="5"/>
        <v>a</v>
      </c>
    </row>
    <row r="34" spans="1:14">
      <c r="A34" s="80">
        <f>סיווג!A37</f>
        <v>24</v>
      </c>
      <c r="B34" s="81" t="str">
        <f>IF(סיווג!B37=0,"",סיווג!B37)</f>
        <v>השעה</v>
      </c>
      <c r="C34" s="103">
        <f>'התחשיב הבסיסי'!P30</f>
        <v>5705745.2929483019</v>
      </c>
      <c r="D34" s="67"/>
      <c r="E34" s="104">
        <f t="shared" si="6"/>
        <v>4849883.4990060562</v>
      </c>
      <c r="F34" s="64">
        <v>109000</v>
      </c>
      <c r="G34" s="105">
        <f t="shared" si="0"/>
        <v>54500</v>
      </c>
      <c r="H34" s="47">
        <f t="shared" si="1"/>
        <v>4904383.4990060562</v>
      </c>
      <c r="I34" s="99">
        <f t="shared" si="3"/>
        <v>4.7417974469030968E-2</v>
      </c>
      <c r="J34" s="107">
        <f t="shared" si="2"/>
        <v>4685939.7842481956</v>
      </c>
      <c r="L34">
        <f t="shared" si="4"/>
        <v>0</v>
      </c>
      <c r="M34" t="str">
        <f>IF(ISNA(MATCH(D34,{0,1,2},0)),"BAD",IF(AND(D34=2,B34&lt;&gt;"הבימה"),"BAD","OK"))</f>
        <v>OK</v>
      </c>
      <c r="N34" s="3" t="str">
        <f t="shared" si="5"/>
        <v>a</v>
      </c>
    </row>
    <row r="35" spans="1:14">
      <c r="A35" s="80">
        <f>סיווג!A38</f>
        <v>25</v>
      </c>
      <c r="B35" s="81" t="str">
        <f>IF(סיווג!B38=0,"",סיווג!B38)</f>
        <v>עדי</v>
      </c>
      <c r="C35" s="103">
        <f>'התחשיב הבסיסי'!P31</f>
        <v>447698.24857316032</v>
      </c>
      <c r="D35" s="67"/>
      <c r="E35" s="104">
        <f t="shared" si="6"/>
        <v>380543.51128718624</v>
      </c>
      <c r="F35" s="64">
        <v>0</v>
      </c>
      <c r="G35" s="105">
        <f t="shared" si="0"/>
        <v>0</v>
      </c>
      <c r="H35" s="47">
        <f t="shared" si="1"/>
        <v>380543.51128718624</v>
      </c>
      <c r="I35" s="99">
        <f t="shared" si="3"/>
        <v>3.6792804857589526E-3</v>
      </c>
      <c r="J35" s="107">
        <f t="shared" si="2"/>
        <v>363593.91135287849</v>
      </c>
      <c r="L35">
        <f t="shared" si="4"/>
        <v>0</v>
      </c>
      <c r="M35" t="str">
        <f>IF(ISNA(MATCH(D35,{0,1,2},0)),"BAD",IF(AND(D35=2,B35&lt;&gt;"הבימה"),"BAD","OK"))</f>
        <v>OK</v>
      </c>
      <c r="N35" s="3" t="str">
        <f t="shared" si="5"/>
        <v>a</v>
      </c>
    </row>
    <row r="36" spans="1:14">
      <c r="A36" s="80">
        <f>סיווג!A39</f>
        <v>26</v>
      </c>
      <c r="B36" s="81" t="str">
        <f>IF(סיווג!B39=0,"",סיווג!B39)</f>
        <v>מדייטק</v>
      </c>
      <c r="C36" s="103">
        <f>'התחשיב הבסיסי'!P32</f>
        <v>1877980.8401769174</v>
      </c>
      <c r="D36" s="67">
        <v>1</v>
      </c>
      <c r="E36" s="104">
        <f t="shared" si="6"/>
        <v>938990.42008845869</v>
      </c>
      <c r="F36" s="64">
        <v>5412000</v>
      </c>
      <c r="G36" s="105">
        <f t="shared" si="0"/>
        <v>2706000</v>
      </c>
      <c r="H36" s="47">
        <f t="shared" si="1"/>
        <v>1877980.8401769174</v>
      </c>
      <c r="I36" s="99">
        <f t="shared" si="3"/>
        <v>1.815723577711361E-2</v>
      </c>
      <c r="J36" s="107">
        <f t="shared" si="2"/>
        <v>1794334.6263244578</v>
      </c>
      <c r="L36">
        <f t="shared" si="4"/>
        <v>1</v>
      </c>
      <c r="M36" t="str">
        <f>IF(ISNA(MATCH(D36,{0,1,2},0)),"BAD",IF(AND(D36=2,B36&lt;&gt;"הבימה"),"BAD","OK"))</f>
        <v>OK</v>
      </c>
      <c r="N36" s="3" t="str">
        <f t="shared" si="5"/>
        <v>a</v>
      </c>
    </row>
    <row r="37" spans="1:14">
      <c r="A37" s="80">
        <f>סיווג!A40</f>
        <v>27</v>
      </c>
      <c r="B37" s="81" t="str">
        <f>IF(סיווג!B40=0,"",סיווג!B40)</f>
        <v>חני</v>
      </c>
      <c r="C37" s="103">
        <f>'התחשיב הבסיסי'!P33</f>
        <v>441017.6170158296</v>
      </c>
      <c r="D37" s="67"/>
      <c r="E37" s="104">
        <f t="shared" si="6"/>
        <v>374864.97446345515</v>
      </c>
      <c r="F37" s="64">
        <v>95751</v>
      </c>
      <c r="G37" s="105">
        <f t="shared" si="0"/>
        <v>47875.5</v>
      </c>
      <c r="H37" s="47">
        <f t="shared" si="1"/>
        <v>422740.47446345515</v>
      </c>
      <c r="I37" s="99">
        <f t="shared" si="3"/>
        <v>4.0872613304397303E-3</v>
      </c>
      <c r="J37" s="107">
        <f t="shared" si="2"/>
        <v>403911.40050563496</v>
      </c>
      <c r="L37">
        <f t="shared" si="4"/>
        <v>0</v>
      </c>
      <c r="M37" t="str">
        <f>IF(ISNA(MATCH(D37,{0,1,2},0)),"BAD",IF(AND(D37=2,B37&lt;&gt;"הבימה"),"BAD","OK"))</f>
        <v>OK</v>
      </c>
      <c r="N37" s="3" t="str">
        <f t="shared" si="5"/>
        <v>a</v>
      </c>
    </row>
    <row r="38" spans="1:14">
      <c r="A38" s="80">
        <f>סיווג!A41</f>
        <v>28</v>
      </c>
      <c r="B38" s="81" t="str">
        <f>IF(סיווג!B41=0,"",סיווג!B41)</f>
        <v xml:space="preserve">גשן </v>
      </c>
      <c r="C38" s="103">
        <f>'התחשיב הבסיסי'!P34</f>
        <v>1001765.4996429903</v>
      </c>
      <c r="D38" s="67"/>
      <c r="E38" s="104">
        <f t="shared" si="6"/>
        <v>851500.67469654174</v>
      </c>
      <c r="F38" s="64">
        <v>0</v>
      </c>
      <c r="G38" s="105">
        <f t="shared" si="0"/>
        <v>0</v>
      </c>
      <c r="H38" s="47">
        <f t="shared" si="1"/>
        <v>851500.67469654174</v>
      </c>
      <c r="I38" s="99">
        <f t="shared" si="3"/>
        <v>8.2327243090402954E-3</v>
      </c>
      <c r="J38" s="107">
        <f t="shared" si="2"/>
        <v>813574.40515884466</v>
      </c>
      <c r="L38">
        <f t="shared" si="4"/>
        <v>0</v>
      </c>
      <c r="M38" t="str">
        <f>IF(ISNA(MATCH(D38,{0,1,2},0)),"BAD",IF(AND(D38=2,B38&lt;&gt;"הבימה"),"BAD","OK"))</f>
        <v>OK</v>
      </c>
      <c r="N38" s="3" t="str">
        <f t="shared" si="5"/>
        <v>a</v>
      </c>
    </row>
    <row r="39" spans="1:14">
      <c r="A39" s="80">
        <f>סיווג!A42</f>
        <v>29</v>
      </c>
      <c r="B39" s="81" t="str">
        <f>IF(סיווג!B42=0,"",סיווג!B42)</f>
        <v>תיאטרון העברי</v>
      </c>
      <c r="C39" s="103">
        <f>'התחשיב הבסיסי'!P35</f>
        <v>958064.64878669451</v>
      </c>
      <c r="D39" s="67"/>
      <c r="E39" s="104">
        <f t="shared" si="6"/>
        <v>814354.9514686903</v>
      </c>
      <c r="F39" s="64">
        <v>0</v>
      </c>
      <c r="G39" s="105">
        <f t="shared" si="0"/>
        <v>0</v>
      </c>
      <c r="H39" s="47">
        <f t="shared" si="1"/>
        <v>814354.9514686903</v>
      </c>
      <c r="I39" s="99">
        <f t="shared" si="3"/>
        <v>7.8735813186911682E-3</v>
      </c>
      <c r="J39" s="107">
        <f t="shared" si="2"/>
        <v>778083.17117941845</v>
      </c>
      <c r="L39">
        <f t="shared" si="4"/>
        <v>0</v>
      </c>
      <c r="M39" t="str">
        <f>IF(ISNA(MATCH(D39,{0,1,2},0)),"BAD",IF(AND(D39=2,B39&lt;&gt;"הבימה"),"BAD","OK"))</f>
        <v>OK</v>
      </c>
      <c r="N39" s="3" t="str">
        <f t="shared" si="5"/>
        <v>a</v>
      </c>
    </row>
    <row r="40" spans="1:14">
      <c r="A40" s="80">
        <f>סיווג!A43</f>
        <v>30</v>
      </c>
      <c r="B40" s="81" t="str">
        <f>IF(סיווג!B43=0,"",סיווג!B43)</f>
        <v>גליון ריק 2</v>
      </c>
      <c r="C40" s="103">
        <f>'התחשיב הבסיסי'!P36</f>
        <v>0</v>
      </c>
      <c r="D40" s="67"/>
      <c r="E40" s="104">
        <f t="shared" si="6"/>
        <v>0</v>
      </c>
      <c r="F40" s="64"/>
      <c r="G40" s="105">
        <f t="shared" si="0"/>
        <v>0</v>
      </c>
      <c r="H40" s="47">
        <f t="shared" si="1"/>
        <v>0</v>
      </c>
      <c r="I40" s="99">
        <f t="shared" si="3"/>
        <v>0</v>
      </c>
      <c r="J40" s="107">
        <f t="shared" si="2"/>
        <v>0</v>
      </c>
      <c r="L40">
        <f t="shared" si="4"/>
        <v>0</v>
      </c>
      <c r="M40" t="str">
        <f>IF(ISNA(MATCH(D40,{0,1,2},0)),"BAD",IF(AND(D40=2,B40&lt;&gt;"הבימה"),"BAD","OK"))</f>
        <v>OK</v>
      </c>
      <c r="N40" s="3" t="str">
        <f t="shared" si="5"/>
        <v>a</v>
      </c>
    </row>
    <row r="41" spans="1:14">
      <c r="A41" s="80">
        <f>סיווג!A44</f>
        <v>31</v>
      </c>
      <c r="B41" s="81" t="str">
        <f>IF(סיווג!B44=0,"",סיווג!B44)</f>
        <v>גליון ריק 3</v>
      </c>
      <c r="C41" s="103">
        <f>'התחשיב הבסיסי'!P37</f>
        <v>0</v>
      </c>
      <c r="D41" s="67"/>
      <c r="E41" s="104">
        <f t="shared" si="6"/>
        <v>0</v>
      </c>
      <c r="F41" s="64"/>
      <c r="G41" s="105">
        <f t="shared" si="0"/>
        <v>0</v>
      </c>
      <c r="H41" s="47">
        <f t="shared" si="1"/>
        <v>0</v>
      </c>
      <c r="I41" s="99">
        <f t="shared" si="3"/>
        <v>0</v>
      </c>
      <c r="J41" s="107">
        <f t="shared" si="2"/>
        <v>0</v>
      </c>
      <c r="L41">
        <f t="shared" si="4"/>
        <v>0</v>
      </c>
      <c r="M41" t="str">
        <f>IF(ISNA(MATCH(D41,{0,1,2},0)),"BAD",IF(AND(D41=2,B41&lt;&gt;"הבימה"),"BAD","OK"))</f>
        <v>OK</v>
      </c>
      <c r="N41" s="3" t="str">
        <f t="shared" si="5"/>
        <v>a</v>
      </c>
    </row>
    <row r="42" spans="1:14">
      <c r="A42" s="80">
        <f>סיווג!A45</f>
        <v>32</v>
      </c>
      <c r="B42" s="81" t="str">
        <f>IF(סיווג!B45=0,"",סיווג!B45)</f>
        <v/>
      </c>
      <c r="C42" s="103" t="str">
        <f>'התחשיב הבסיסי'!P38</f>
        <v/>
      </c>
      <c r="D42" s="67"/>
      <c r="E42" s="104" t="str">
        <f t="shared" si="6"/>
        <v/>
      </c>
      <c r="F42" s="64"/>
      <c r="G42" s="105" t="str">
        <f t="shared" si="0"/>
        <v/>
      </c>
      <c r="H42" s="47" t="str">
        <f t="shared" si="1"/>
        <v/>
      </c>
      <c r="I42" s="99" t="str">
        <f t="shared" si="3"/>
        <v/>
      </c>
      <c r="J42" s="107" t="str">
        <f t="shared" si="2"/>
        <v/>
      </c>
      <c r="L42">
        <f t="shared" si="4"/>
        <v>0</v>
      </c>
      <c r="M42" t="str">
        <f>IF(ISNA(MATCH(D42,{0,1,2},0)),"BAD",IF(AND(D42=2,B42&lt;&gt;"הבימה"),"BAD","OK"))</f>
        <v>OK</v>
      </c>
      <c r="N42" s="3" t="str">
        <f t="shared" si="5"/>
        <v>a</v>
      </c>
    </row>
    <row r="43" spans="1:14" ht="13.5" thickBot="1">
      <c r="A43" s="82">
        <f>סיווג!A46</f>
        <v>33</v>
      </c>
      <c r="B43" s="83" t="str">
        <f>IF(סיווג!B46=0,"",סיווג!B46)</f>
        <v/>
      </c>
      <c r="C43" s="103" t="str">
        <f>'התחשיב הבסיסי'!P39</f>
        <v/>
      </c>
      <c r="D43" s="68"/>
      <c r="E43" s="104" t="str">
        <f t="shared" si="6"/>
        <v/>
      </c>
      <c r="F43" s="64"/>
      <c r="G43" s="105" t="str">
        <f t="shared" si="0"/>
        <v/>
      </c>
      <c r="H43" s="47" t="str">
        <f t="shared" si="1"/>
        <v/>
      </c>
      <c r="I43" s="106" t="str">
        <f t="shared" si="3"/>
        <v/>
      </c>
      <c r="J43" s="107" t="str">
        <f t="shared" si="2"/>
        <v/>
      </c>
      <c r="L43">
        <f t="shared" si="4"/>
        <v>0</v>
      </c>
      <c r="M43" t="str">
        <f>IF(ISNA(MATCH(D43,{0,1,2},0)),"BAD",IF(AND(D43=2,B43&lt;&gt;"הבימה"),"BAD","OK"))</f>
        <v>OK</v>
      </c>
      <c r="N43" s="3" t="str">
        <f t="shared" si="5"/>
        <v>a</v>
      </c>
    </row>
    <row r="44" spans="1:14" ht="14.25" thickTop="1" thickBot="1">
      <c r="A44" s="618" t="s">
        <v>26</v>
      </c>
      <c r="B44" s="635"/>
      <c r="C44" s="43">
        <f>SUM(C11:C43)</f>
        <v>98822014.99999997</v>
      </c>
      <c r="D44" s="6"/>
      <c r="E44" s="42">
        <f t="shared" ref="E44:J44" si="7">SUM(E11:E43)</f>
        <v>87598874.427307591</v>
      </c>
      <c r="F44" s="44">
        <f t="shared" si="7"/>
        <v>47900422</v>
      </c>
      <c r="G44" s="44">
        <f t="shared" si="7"/>
        <v>23950211</v>
      </c>
      <c r="H44" s="44">
        <f t="shared" si="7"/>
        <v>103428785.26389071</v>
      </c>
      <c r="I44" s="46">
        <f t="shared" si="7"/>
        <v>1</v>
      </c>
      <c r="J44" s="48">
        <f t="shared" si="7"/>
        <v>98822015.000000045</v>
      </c>
    </row>
    <row r="45" spans="1:14" ht="13.5" thickTop="1"/>
  </sheetData>
  <sheetProtection password="CC01" sheet="1" objects="1" scenarios="1" formatColumns="0" formatRows="0"/>
  <mergeCells count="6">
    <mergeCell ref="A9:J9"/>
    <mergeCell ref="A44:B44"/>
    <mergeCell ref="B1:D1"/>
    <mergeCell ref="E1:F1"/>
    <mergeCell ref="B6:C6"/>
    <mergeCell ref="B7:C7"/>
  </mergeCells>
  <phoneticPr fontId="5" type="noConversion"/>
  <conditionalFormatting sqref="D37:D43">
    <cfRule type="cellIs" dxfId="81" priority="8" stopIfTrue="1" operator="notEqual">
      <formula>L37</formula>
    </cfRule>
  </conditionalFormatting>
  <conditionalFormatting sqref="F40:F43">
    <cfRule type="cellIs" dxfId="80" priority="9" stopIfTrue="1" operator="equal">
      <formula>N40</formula>
    </cfRule>
    <cfRule type="expression" dxfId="79" priority="10" stopIfTrue="1">
      <formula>G40=""</formula>
    </cfRule>
  </conditionalFormatting>
  <conditionalFormatting sqref="D11:D36">
    <cfRule type="cellIs" dxfId="78" priority="5" stopIfTrue="1" operator="notEqual">
      <formula>L11</formula>
    </cfRule>
  </conditionalFormatting>
  <conditionalFormatting sqref="F11">
    <cfRule type="cellIs" dxfId="77" priority="3" stopIfTrue="1" operator="equal">
      <formula>N11</formula>
    </cfRule>
    <cfRule type="expression" dxfId="76" priority="4" stopIfTrue="1">
      <formula>G11=""</formula>
    </cfRule>
  </conditionalFormatting>
  <conditionalFormatting sqref="F12:F39">
    <cfRule type="cellIs" dxfId="75" priority="1" stopIfTrue="1" operator="equal">
      <formula>N12</formula>
    </cfRule>
    <cfRule type="expression" dxfId="74" priority="2" stopIfTrue="1">
      <formula>G12=""</formula>
    </cfRule>
  </conditionalFormatting>
  <dataValidations count="1">
    <dataValidation type="decimal" errorStyle="warning" operator="greaterThanOrEqual" allowBlank="1" showErrorMessage="1" errorTitle="טעות בהזנה" error="יש להזין סכום שאינו שלילי" sqref="F11:F43">
      <formula1>0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scale="58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indexed="44"/>
    <pageSetUpPr fitToPage="1"/>
  </sheetPr>
  <dimension ref="A1:L39"/>
  <sheetViews>
    <sheetView rightToLeft="1" view="pageBreakPreview" zoomScale="80" zoomScaleSheetLayoutView="80" workbookViewId="0">
      <selection activeCell="D13" sqref="D13"/>
    </sheetView>
  </sheetViews>
  <sheetFormatPr defaultRowHeight="12.75"/>
  <cols>
    <col min="1" max="1" width="10" bestFit="1" customWidth="1"/>
    <col min="2" max="2" width="28.7109375" bestFit="1" customWidth="1"/>
    <col min="3" max="3" width="10.7109375" bestFit="1" customWidth="1"/>
    <col min="4" max="5" width="18.140625" customWidth="1"/>
    <col min="6" max="6" width="18.28515625" customWidth="1"/>
    <col min="7" max="8" width="23.7109375" customWidth="1"/>
    <col min="9" max="9" width="17" customWidth="1"/>
    <col min="11" max="11" width="10.7109375" bestFit="1" customWidth="1"/>
  </cols>
  <sheetData>
    <row r="1" spans="1:12" ht="17.25" thickTop="1" thickBot="1">
      <c r="A1" s="111"/>
      <c r="B1" s="111"/>
      <c r="C1" s="111"/>
      <c r="D1" s="575" t="str">
        <f>פרמטרים!B1</f>
        <v>שנת התקציב</v>
      </c>
      <c r="E1" s="576"/>
      <c r="F1" s="233">
        <f>פרמטרים!D1</f>
        <v>2018</v>
      </c>
      <c r="G1" s="111"/>
      <c r="H1" s="111"/>
      <c r="I1" s="111"/>
    </row>
    <row r="2" spans="1:12" ht="18.75" thickBot="1">
      <c r="A2" s="111"/>
      <c r="B2" s="111"/>
      <c r="C2" s="111"/>
      <c r="D2" s="577" t="str">
        <f>פרמטרים!B2</f>
        <v>תקציב</v>
      </c>
      <c r="E2" s="578"/>
      <c r="F2" s="155">
        <f>פרמטרים!D2</f>
        <v>98822015</v>
      </c>
      <c r="G2" s="111"/>
      <c r="H2" s="111"/>
      <c r="I2" s="111"/>
    </row>
    <row r="3" spans="1:12" ht="17.25" thickTop="1" thickBot="1">
      <c r="A3" s="554" t="s">
        <v>127</v>
      </c>
      <c r="B3" s="567"/>
      <c r="C3" s="567"/>
      <c r="D3" s="567"/>
      <c r="E3" s="567"/>
      <c r="F3" s="567"/>
      <c r="G3" s="567"/>
      <c r="H3" s="567"/>
      <c r="I3" s="555"/>
    </row>
    <row r="4" spans="1:12" ht="52.5" customHeight="1" thickTop="1" thickBot="1">
      <c r="A4" s="112" t="str">
        <f>סיווג!A12</f>
        <v>מספר סידורי</v>
      </c>
      <c r="B4" s="113" t="str">
        <f>סיווג!B12</f>
        <v>שם התיאטרון</v>
      </c>
      <c r="C4" s="113" t="str">
        <f>'התחשיב הבסיסי'!C5</f>
        <v>מקדם סוג</v>
      </c>
      <c r="D4" s="113" t="s">
        <v>164</v>
      </c>
      <c r="E4" s="113" t="s">
        <v>123</v>
      </c>
      <c r="F4" s="113" t="s">
        <v>167</v>
      </c>
      <c r="G4" s="113" t="s">
        <v>165</v>
      </c>
      <c r="H4" s="126" t="s">
        <v>217</v>
      </c>
      <c r="I4" s="114" t="s">
        <v>166</v>
      </c>
    </row>
    <row r="5" spans="1:12">
      <c r="A5" s="115">
        <f>סיווג!A14</f>
        <v>1</v>
      </c>
      <c r="B5" s="116" t="str">
        <f>IF(סיווג!B14=0,"",סיווג!B14)</f>
        <v>הבימה</v>
      </c>
      <c r="C5" s="87">
        <f>'התחשיב הבסיסי'!C7</f>
        <v>1</v>
      </c>
      <c r="D5" s="524">
        <v>16884479.543164562</v>
      </c>
      <c r="E5" s="108">
        <f t="shared" ref="E5:E37" si="0">IF(OR(C5="",ISERR(D5/3),D5&lt;0),"",IF(C5=0,"---",D5/$D$38))</f>
        <v>0.17611600609159517</v>
      </c>
      <c r="F5" s="117">
        <f>'תמיכה ציבורית אחרת'!I11</f>
        <v>0.17694067509091552</v>
      </c>
      <c r="G5" s="118">
        <f t="shared" ref="G5:G37" si="1">IF(OR(F5="",E5=""),"",AVERAGE($E5,F5))</f>
        <v>0.17652834059125533</v>
      </c>
      <c r="H5" s="118">
        <f t="shared" ref="H5:H37" si="2">IF(G5="","",IF(C5=0,0,G5+((SUMIF($C$5:$C$37,"=0",$G$5:$G$37)*G5/SUMIF($C$5:$C$37,"&lt;&gt;0",$G$5:$G$37)))))</f>
        <v>0.17652834059125533</v>
      </c>
      <c r="I5" s="119">
        <f t="shared" ref="I5:I37" si="3">IF(H5="","",H5*$F$2)</f>
        <v>17444886.321834143</v>
      </c>
      <c r="J5" s="149"/>
      <c r="L5" s="149"/>
    </row>
    <row r="6" spans="1:12">
      <c r="A6" s="120">
        <f>סיווג!A15</f>
        <v>2</v>
      </c>
      <c r="B6" s="121" t="str">
        <f>IF(סיווג!B15=0,"",סיווג!B15)</f>
        <v>הקאמרי</v>
      </c>
      <c r="C6" s="88">
        <f>'התחשיב הבסיסי'!C8</f>
        <v>1</v>
      </c>
      <c r="D6" s="525">
        <v>11272322.727075975</v>
      </c>
      <c r="E6" s="109">
        <f t="shared" si="0"/>
        <v>0.11757759266389904</v>
      </c>
      <c r="F6" s="117">
        <f>'תמיכה ציבורית אחרת'!I12</f>
        <v>0.10416362248985049</v>
      </c>
      <c r="G6" s="118">
        <f t="shared" si="1"/>
        <v>0.11087060757687477</v>
      </c>
      <c r="H6" s="118">
        <f t="shared" si="2"/>
        <v>0.11087060757687477</v>
      </c>
      <c r="I6" s="119">
        <f t="shared" si="3"/>
        <v>10956456.845021032</v>
      </c>
      <c r="J6" s="149"/>
    </row>
    <row r="7" spans="1:12">
      <c r="A7" s="120">
        <f>סיווג!A16</f>
        <v>3</v>
      </c>
      <c r="B7" s="121" t="str">
        <f>IF(סיווג!B16=0,"",סיווג!B16)</f>
        <v>בית לסין</v>
      </c>
      <c r="C7" s="88">
        <f>'התחשיב הבסיסי'!C9</f>
        <v>1</v>
      </c>
      <c r="D7" s="525">
        <v>9092660.215172112</v>
      </c>
      <c r="E7" s="109">
        <f t="shared" si="0"/>
        <v>9.4842307561226857E-2</v>
      </c>
      <c r="F7" s="117">
        <f>'תמיכה ציבורית אחרת'!I13</f>
        <v>8.5648403919795196E-2</v>
      </c>
      <c r="G7" s="118">
        <f t="shared" si="1"/>
        <v>9.0245355740511027E-2</v>
      </c>
      <c r="H7" s="118">
        <f t="shared" si="2"/>
        <v>9.0245355740511027E-2</v>
      </c>
      <c r="I7" s="119">
        <f t="shared" si="3"/>
        <v>8918227.8986691162</v>
      </c>
      <c r="J7" s="149"/>
    </row>
    <row r="8" spans="1:12">
      <c r="A8" s="120">
        <f>סיווג!A17</f>
        <v>4</v>
      </c>
      <c r="B8" s="121" t="str">
        <f>IF(סיווג!B17=0,"",סיווג!B17)</f>
        <v>חיפה</v>
      </c>
      <c r="C8" s="88">
        <f>'התחשיב הבסיסי'!C10</f>
        <v>0.8</v>
      </c>
      <c r="D8" s="64">
        <v>5523829.7419604603</v>
      </c>
      <c r="E8" s="109">
        <f t="shared" si="0"/>
        <v>5.7617105105136693E-2</v>
      </c>
      <c r="F8" s="117">
        <f>'תמיכה ציבורית אחרת'!I14</f>
        <v>6.298383786320777E-2</v>
      </c>
      <c r="G8" s="118">
        <f t="shared" si="1"/>
        <v>6.0300471484172231E-2</v>
      </c>
      <c r="H8" s="118">
        <f t="shared" si="2"/>
        <v>6.0300471484172231E-2</v>
      </c>
      <c r="I8" s="119">
        <f t="shared" si="3"/>
        <v>5959014.0975159407</v>
      </c>
      <c r="J8" s="149"/>
    </row>
    <row r="9" spans="1:12">
      <c r="A9" s="120">
        <f>סיווג!A18</f>
        <v>5</v>
      </c>
      <c r="B9" s="121" t="str">
        <f>IF(סיווג!B18=0,"",סיווג!B18)</f>
        <v>באר שבע</v>
      </c>
      <c r="C9" s="88">
        <f>'התחשיב הבסיסי'!C11</f>
        <v>0.8</v>
      </c>
      <c r="D9" s="64">
        <v>7357166.085402376</v>
      </c>
      <c r="E9" s="109">
        <f t="shared" si="0"/>
        <v>7.673998501411633E-2</v>
      </c>
      <c r="F9" s="117">
        <f>'תמיכה ציבורית אחרת'!I15</f>
        <v>7.5241924293537293E-2</v>
      </c>
      <c r="G9" s="118">
        <f t="shared" si="1"/>
        <v>7.5990954653826812E-2</v>
      </c>
      <c r="H9" s="118">
        <f t="shared" si="2"/>
        <v>7.5990954653826812E-2</v>
      </c>
      <c r="I9" s="119">
        <f t="shared" si="3"/>
        <v>7509579.2606647927</v>
      </c>
      <c r="J9" s="149"/>
    </row>
    <row r="10" spans="1:12">
      <c r="A10" s="120">
        <f>סיווג!A19</f>
        <v>6</v>
      </c>
      <c r="B10" s="121" t="str">
        <f>IF(סיווג!B19=0,"",סיווג!B19)</f>
        <v>גשר</v>
      </c>
      <c r="C10" s="88">
        <f>'התחשיב הבסיסי'!C12</f>
        <v>0.8</v>
      </c>
      <c r="D10" s="64">
        <v>5492520.290235661</v>
      </c>
      <c r="E10" s="109">
        <f t="shared" si="0"/>
        <v>5.7290527340237714E-2</v>
      </c>
      <c r="F10" s="117">
        <f>'תמיכה ציבורית אחרת'!I16</f>
        <v>6.0985398454513826E-2</v>
      </c>
      <c r="G10" s="118">
        <f t="shared" si="1"/>
        <v>5.9137962897375773E-2</v>
      </c>
      <c r="H10" s="118">
        <f t="shared" si="2"/>
        <v>5.9137962897375773E-2</v>
      </c>
      <c r="I10" s="119">
        <f t="shared" si="3"/>
        <v>5844132.6565139117</v>
      </c>
      <c r="J10" s="149"/>
    </row>
    <row r="11" spans="1:12">
      <c r="A11" s="120">
        <f>סיווג!A20</f>
        <v>7</v>
      </c>
      <c r="B11" s="121" t="str">
        <f>IF(סיווג!B20=0,"",סיווג!B20)</f>
        <v>החאן</v>
      </c>
      <c r="C11" s="88">
        <f>'התחשיב הבסיסי'!C13</f>
        <v>0.8</v>
      </c>
      <c r="D11" s="64">
        <v>7070262.0153425876</v>
      </c>
      <c r="E11" s="109">
        <f t="shared" si="0"/>
        <v>7.3747390612779934E-2</v>
      </c>
      <c r="F11" s="117">
        <f>'תמיכה ציבורית אחרת'!I17</f>
        <v>7.2094843594088506E-2</v>
      </c>
      <c r="G11" s="118">
        <f t="shared" si="1"/>
        <v>7.2921117103434213E-2</v>
      </c>
      <c r="H11" s="118">
        <f t="shared" si="2"/>
        <v>7.2921117103434213E-2</v>
      </c>
      <c r="I11" s="119">
        <f t="shared" si="3"/>
        <v>7206211.7282123324</v>
      </c>
      <c r="J11" s="149"/>
    </row>
    <row r="12" spans="1:12">
      <c r="A12" s="120">
        <f>סיווג!A21</f>
        <v>8</v>
      </c>
      <c r="B12" s="121" t="str">
        <f>IF(סיווג!B21=0,"",סיווג!B21)</f>
        <v>היידישפיל</v>
      </c>
      <c r="C12" s="88">
        <f>'התחשיב הבסיסי'!C14</f>
        <v>0.8</v>
      </c>
      <c r="D12" s="64">
        <v>5155776.7796721673</v>
      </c>
      <c r="E12" s="109">
        <f t="shared" si="0"/>
        <v>5.3778075445816448E-2</v>
      </c>
      <c r="F12" s="117">
        <f>'תמיכה ציבורית אחרת'!I18</f>
        <v>5.0015814074494347E-2</v>
      </c>
      <c r="G12" s="118">
        <f t="shared" si="1"/>
        <v>5.1896944760155397E-2</v>
      </c>
      <c r="H12" s="118">
        <f t="shared" si="2"/>
        <v>5.1896944760155397E-2</v>
      </c>
      <c r="I12" s="119">
        <f t="shared" si="3"/>
        <v>5128560.6535422485</v>
      </c>
      <c r="J12" s="149"/>
    </row>
    <row r="13" spans="1:12">
      <c r="A13" s="120">
        <f>סיווג!A22</f>
        <v>9</v>
      </c>
      <c r="B13" s="121" t="str">
        <f>IF(סיווג!B22=0,"",סיווג!B22)</f>
        <v>תיאטרון אלמידאן</v>
      </c>
      <c r="C13" s="88">
        <f>'התחשיב הבסיסי'!C15</f>
        <v>0</v>
      </c>
      <c r="D13" s="64">
        <v>861664.39563074871</v>
      </c>
      <c r="E13" s="109" t="str">
        <f t="shared" si="0"/>
        <v>---</v>
      </c>
      <c r="F13" s="117">
        <f>'תמיכה ציבורית אחרת'!I19</f>
        <v>0</v>
      </c>
      <c r="G13" s="118">
        <f t="shared" si="1"/>
        <v>0</v>
      </c>
      <c r="H13" s="118">
        <f t="shared" si="2"/>
        <v>0</v>
      </c>
      <c r="I13" s="119">
        <f t="shared" si="3"/>
        <v>0</v>
      </c>
      <c r="J13" s="149"/>
    </row>
    <row r="14" spans="1:12">
      <c r="A14" s="120">
        <f>סיווג!A23</f>
        <v>10</v>
      </c>
      <c r="B14" s="121" t="str">
        <f>IF(סיווג!B23=0,"",סיווג!B23)</f>
        <v>הזירה הבין תחומית</v>
      </c>
      <c r="C14" s="88">
        <f>'התחשיב הבסיסי'!C16</f>
        <v>0.25</v>
      </c>
      <c r="D14" s="64">
        <v>836872.52524402074</v>
      </c>
      <c r="E14" s="109">
        <f t="shared" si="0"/>
        <v>8.7291199220548045E-3</v>
      </c>
      <c r="F14" s="117">
        <f>'תמיכה ציבורית אחרת'!I20</f>
        <v>7.7743841190041603E-3</v>
      </c>
      <c r="G14" s="118">
        <f t="shared" si="1"/>
        <v>8.251752020529482E-3</v>
      </c>
      <c r="H14" s="118">
        <f t="shared" si="2"/>
        <v>8.251752020529482E-3</v>
      </c>
      <c r="I14" s="119">
        <f t="shared" si="3"/>
        <v>815454.76194904477</v>
      </c>
      <c r="J14" s="149"/>
    </row>
    <row r="15" spans="1:12">
      <c r="A15" s="120">
        <f>סיווג!A24</f>
        <v>11</v>
      </c>
      <c r="B15" s="121" t="str">
        <f>IF(סיווג!B24=0,"",סיווג!B24)</f>
        <v>אספקלריא</v>
      </c>
      <c r="C15" s="88">
        <f>'התחשיב הבסיסי'!C17</f>
        <v>0.25</v>
      </c>
      <c r="D15" s="64">
        <v>1405241.6027017485</v>
      </c>
      <c r="E15" s="109">
        <f t="shared" si="0"/>
        <v>1.4657575794912496E-2</v>
      </c>
      <c r="F15" s="117">
        <f>'תמיכה ציבורית אחרת'!I21</f>
        <v>1.7149197959714303E-2</v>
      </c>
      <c r="G15" s="118">
        <f t="shared" si="1"/>
        <v>1.5903386877313401E-2</v>
      </c>
      <c r="H15" s="118">
        <f t="shared" si="2"/>
        <v>1.5903386877313401E-2</v>
      </c>
      <c r="I15" s="119">
        <f t="shared" si="3"/>
        <v>1571604.7365406682</v>
      </c>
      <c r="J15" s="149"/>
    </row>
    <row r="16" spans="1:12">
      <c r="A16" s="120">
        <f>סיווג!A25</f>
        <v>12</v>
      </c>
      <c r="B16" s="121" t="str">
        <f>IF(סיווג!B25=0,"",סיווג!B25)</f>
        <v/>
      </c>
      <c r="C16" s="88" t="str">
        <f>'התחשיב הבסיסי'!C18</f>
        <v/>
      </c>
      <c r="D16" s="64" t="s">
        <v>333</v>
      </c>
      <c r="E16" s="109" t="str">
        <f t="shared" si="0"/>
        <v/>
      </c>
      <c r="F16" s="117" t="str">
        <f>'תמיכה ציבורית אחרת'!I22</f>
        <v/>
      </c>
      <c r="G16" s="118" t="str">
        <f t="shared" si="1"/>
        <v/>
      </c>
      <c r="H16" s="118" t="str">
        <f t="shared" si="2"/>
        <v/>
      </c>
      <c r="I16" s="119" t="str">
        <f t="shared" si="3"/>
        <v/>
      </c>
      <c r="J16" s="149"/>
    </row>
    <row r="17" spans="1:10">
      <c r="A17" s="120">
        <f>סיווג!A26</f>
        <v>13</v>
      </c>
      <c r="B17" s="121" t="str">
        <f>IF(סיווג!B26=0,"",סיווג!B26)</f>
        <v>עכו</v>
      </c>
      <c r="C17" s="88">
        <f>'התחשיב הבסיסי'!C19</f>
        <v>0.25</v>
      </c>
      <c r="D17" s="64">
        <v>1369419.8083819037</v>
      </c>
      <c r="E17" s="109">
        <f t="shared" si="0"/>
        <v>1.4283931387898501E-2</v>
      </c>
      <c r="F17" s="117">
        <f>'תמיכה ציבורית אחרת'!I23</f>
        <v>1.5285585393552294E-2</v>
      </c>
      <c r="G17" s="118">
        <f t="shared" si="1"/>
        <v>1.4784758390725398E-2</v>
      </c>
      <c r="H17" s="118">
        <f t="shared" si="2"/>
        <v>1.4784758390725398E-2</v>
      </c>
      <c r="I17" s="119">
        <f t="shared" si="3"/>
        <v>1461059.6154596412</v>
      </c>
      <c r="J17" s="149"/>
    </row>
    <row r="18" spans="1:10">
      <c r="A18" s="120">
        <f>סיווג!A27</f>
        <v>14</v>
      </c>
      <c r="B18" s="121" t="str">
        <f>IF(סיווג!B27=0,"",סיווג!B27)</f>
        <v>הספרייה</v>
      </c>
      <c r="C18" s="88">
        <f>'התחשיב הבסיסי'!C20</f>
        <v>0.25</v>
      </c>
      <c r="D18" s="64">
        <v>796540.22340308921</v>
      </c>
      <c r="E18" s="109">
        <f t="shared" si="0"/>
        <v>8.3084280139301518E-3</v>
      </c>
      <c r="F18" s="117">
        <f>'תמיכה ציבורית אחרת'!I24</f>
        <v>8.6323605288059768E-3</v>
      </c>
      <c r="G18" s="118">
        <f t="shared" si="1"/>
        <v>8.4703942713680643E-3</v>
      </c>
      <c r="H18" s="118">
        <f t="shared" si="2"/>
        <v>8.4703942713680643E-3</v>
      </c>
      <c r="I18" s="119">
        <f t="shared" si="3"/>
        <v>837061.42974104895</v>
      </c>
      <c r="J18" s="149"/>
    </row>
    <row r="19" spans="1:10">
      <c r="A19" s="120">
        <f>סיווג!A28</f>
        <v>15</v>
      </c>
      <c r="B19" s="121" t="str">
        <f>IF(סיווג!B28=0,"",סיווג!B28)</f>
        <v>יפו</v>
      </c>
      <c r="C19" s="88">
        <f>'התחשיב הבסיסי'!C21</f>
        <v>0.25</v>
      </c>
      <c r="D19" s="64">
        <v>875851.73140472872</v>
      </c>
      <c r="E19" s="109">
        <f t="shared" si="0"/>
        <v>9.135698169971479E-3</v>
      </c>
      <c r="F19" s="117">
        <f>'תמיכה ציבורית אחרת'!I25</f>
        <v>8.7673761494670658E-3</v>
      </c>
      <c r="G19" s="118">
        <f t="shared" si="1"/>
        <v>8.9515371597192715E-3</v>
      </c>
      <c r="H19" s="118">
        <f t="shared" si="2"/>
        <v>8.9515371597192715E-3</v>
      </c>
      <c r="I19" s="119">
        <f t="shared" si="3"/>
        <v>884608.93947083526</v>
      </c>
      <c r="J19" s="3"/>
    </row>
    <row r="20" spans="1:10">
      <c r="A20" s="120">
        <f>סיווג!A29</f>
        <v>16</v>
      </c>
      <c r="B20" s="121" t="str">
        <f>IF(סיווג!B29=0,"",סיווג!B29)</f>
        <v/>
      </c>
      <c r="C20" s="88" t="str">
        <f>'התחשיב הבסיסי'!C22</f>
        <v/>
      </c>
      <c r="D20" s="64" t="s">
        <v>333</v>
      </c>
      <c r="E20" s="109" t="str">
        <f t="shared" si="0"/>
        <v/>
      </c>
      <c r="F20" s="117" t="str">
        <f>'תמיכה ציבורית אחרת'!I26</f>
        <v/>
      </c>
      <c r="G20" s="118" t="str">
        <f t="shared" si="1"/>
        <v/>
      </c>
      <c r="H20" s="118" t="str">
        <f t="shared" si="2"/>
        <v/>
      </c>
      <c r="I20" s="119" t="str">
        <f t="shared" si="3"/>
        <v/>
      </c>
      <c r="J20" s="3"/>
    </row>
    <row r="21" spans="1:10">
      <c r="A21" s="120">
        <f>סיווג!A30</f>
        <v>17</v>
      </c>
      <c r="B21" s="121" t="str">
        <f>IF(סיווג!B30=0,"",סיווג!B30)</f>
        <v>אינקובטור</v>
      </c>
      <c r="C21" s="88">
        <f>'התחשיב הבסיסי'!C23</f>
        <v>0.25</v>
      </c>
      <c r="D21" s="64">
        <v>1662459.5863330963</v>
      </c>
      <c r="E21" s="109">
        <f t="shared" si="0"/>
        <v>1.7340525177881507E-2</v>
      </c>
      <c r="F21" s="117">
        <f>'תמיכה ציבורית אחרת'!I27</f>
        <v>1.7408287797144636E-2</v>
      </c>
      <c r="G21" s="118">
        <f t="shared" si="1"/>
        <v>1.7374406487513074E-2</v>
      </c>
      <c r="H21" s="118">
        <f t="shared" si="2"/>
        <v>1.7374406487513074E-2</v>
      </c>
      <c r="I21" s="119">
        <f t="shared" si="3"/>
        <v>1716973.8585251144</v>
      </c>
      <c r="J21" s="3"/>
    </row>
    <row r="22" spans="1:10">
      <c r="A22" s="120">
        <f>סיווג!A31</f>
        <v>18</v>
      </c>
      <c r="B22" s="121" t="str">
        <f>IF(סיווג!B31=0,"",סיווג!B31)</f>
        <v>אורנה פורת</v>
      </c>
      <c r="C22" s="88">
        <f>'התחשיב הבסיסי'!C24</f>
        <v>0.6</v>
      </c>
      <c r="D22" s="64">
        <v>5507801.801832417</v>
      </c>
      <c r="E22" s="109">
        <f t="shared" si="0"/>
        <v>5.7449923357306691E-2</v>
      </c>
      <c r="F22" s="117">
        <f>'תמיכה ציבורית אחרת'!I28</f>
        <v>5.6421018134677509E-2</v>
      </c>
      <c r="G22" s="118">
        <f t="shared" si="1"/>
        <v>5.6935470745992103E-2</v>
      </c>
      <c r="H22" s="118">
        <f t="shared" si="2"/>
        <v>5.6935470745992103E-2</v>
      </c>
      <c r="I22" s="119">
        <f t="shared" si="3"/>
        <v>5626477.9440924926</v>
      </c>
      <c r="J22" s="3"/>
    </row>
    <row r="23" spans="1:10">
      <c r="A23" s="120">
        <f>סיווג!A32</f>
        <v>19</v>
      </c>
      <c r="B23" s="121" t="str">
        <f>IF(סיווג!B32=0,"",סיווג!B32)</f>
        <v>ארצי לנוער</v>
      </c>
      <c r="C23" s="88">
        <f>'התחשיב הבסיסי'!C25</f>
        <v>0.6</v>
      </c>
      <c r="D23" s="64">
        <v>3743611.5406101155</v>
      </c>
      <c r="E23" s="109">
        <f t="shared" si="0"/>
        <v>3.9048281660394389E-2</v>
      </c>
      <c r="F23" s="117">
        <f>'תמיכה ציבורית אחרת'!I29</f>
        <v>4.0857600394043563E-2</v>
      </c>
      <c r="G23" s="118">
        <f t="shared" si="1"/>
        <v>3.9952941027218976E-2</v>
      </c>
      <c r="H23" s="118">
        <f t="shared" si="2"/>
        <v>3.9952941027218976E-2</v>
      </c>
      <c r="I23" s="119">
        <f t="shared" si="3"/>
        <v>3948230.1374859489</v>
      </c>
    </row>
    <row r="24" spans="1:10">
      <c r="A24" s="120">
        <f>סיווג!A33</f>
        <v>20</v>
      </c>
      <c r="B24" s="121" t="str">
        <f>IF(סיווג!B33=0,"",סיווג!B33)</f>
        <v>הקיבוץ</v>
      </c>
      <c r="C24" s="88">
        <f>'התחשיב הבסיסי'!C26</f>
        <v>0.2</v>
      </c>
      <c r="D24" s="64">
        <v>673841.08828729636</v>
      </c>
      <c r="E24" s="109">
        <f t="shared" si="0"/>
        <v>7.0285969375713528E-3</v>
      </c>
      <c r="F24" s="117">
        <f>'תמיכה ציבורית אחרת'!I30</f>
        <v>6.5129079819775965E-3</v>
      </c>
      <c r="G24" s="118">
        <f t="shared" si="1"/>
        <v>6.7707524597744751E-3</v>
      </c>
      <c r="H24" s="118">
        <f t="shared" si="2"/>
        <v>6.7707524597744751E-3</v>
      </c>
      <c r="I24" s="119">
        <f t="shared" si="3"/>
        <v>669099.40114112012</v>
      </c>
    </row>
    <row r="25" spans="1:10">
      <c r="A25" s="120">
        <f>סיווג!A34</f>
        <v>21</v>
      </c>
      <c r="B25" s="121" t="str">
        <f>IF(סיווג!B34=0,"",סיווג!B34)</f>
        <v>הקרון</v>
      </c>
      <c r="C25" s="88">
        <f>'התחשיב הבסיסי'!C27</f>
        <v>0.2</v>
      </c>
      <c r="D25" s="64">
        <v>2009589.7285658501</v>
      </c>
      <c r="E25" s="109">
        <f t="shared" si="0"/>
        <v>2.096131633627938E-2</v>
      </c>
      <c r="F25" s="117">
        <f>'תמיכה ציבורית אחרת'!I31</f>
        <v>2.3104863034839024E-2</v>
      </c>
      <c r="G25" s="118">
        <f t="shared" si="1"/>
        <v>2.2033089685559202E-2</v>
      </c>
      <c r="H25" s="118">
        <f t="shared" si="2"/>
        <v>2.2033089685559202E-2</v>
      </c>
      <c r="I25" s="119">
        <f t="shared" si="3"/>
        <v>2177354.3194026765</v>
      </c>
    </row>
    <row r="26" spans="1:10">
      <c r="A26" s="120">
        <f>סיווג!A35</f>
        <v>22</v>
      </c>
      <c r="B26" s="121" t="str">
        <f>IF(סיווג!B35=0,"",סיווג!B35)</f>
        <v>בית הגפן</v>
      </c>
      <c r="C26" s="88">
        <f>'התחשיב הבסיסי'!C28</f>
        <v>0.2</v>
      </c>
      <c r="D26" s="64">
        <v>1207442.2710694943</v>
      </c>
      <c r="E26" s="109">
        <f t="shared" si="0"/>
        <v>1.2594401256093962E-2</v>
      </c>
      <c r="F26" s="117">
        <f>'תמיכה ציבורית אחרת'!I32</f>
        <v>1.2224948152569684E-2</v>
      </c>
      <c r="G26" s="118">
        <f t="shared" si="1"/>
        <v>1.2409674704331823E-2</v>
      </c>
      <c r="H26" s="118">
        <f t="shared" si="2"/>
        <v>1.2409674704331823E-2</v>
      </c>
      <c r="I26" s="119">
        <f t="shared" si="3"/>
        <v>1226349.0597766</v>
      </c>
    </row>
    <row r="27" spans="1:10">
      <c r="A27" s="120">
        <f>סיווג!A36</f>
        <v>23</v>
      </c>
      <c r="B27" s="121" t="str">
        <f>IF(סיווג!B36=0,"",סיווג!B36)</f>
        <v>הנפש</v>
      </c>
      <c r="C27" s="88">
        <f>'התחשיב הבסיסי'!C29</f>
        <v>0.2</v>
      </c>
      <c r="D27" s="64">
        <v>784575.85018240102</v>
      </c>
      <c r="E27" s="109">
        <f t="shared" si="0"/>
        <v>8.1836318884925836E-3</v>
      </c>
      <c r="F27" s="117">
        <f>'תמיכה ציבורית אחרת'!I33</f>
        <v>8.3388928837267919E-3</v>
      </c>
      <c r="G27" s="118">
        <f t="shared" si="1"/>
        <v>8.2612623861096877E-3</v>
      </c>
      <c r="H27" s="118">
        <f t="shared" si="2"/>
        <v>8.2612623861096877E-3</v>
      </c>
      <c r="I27" s="119">
        <f t="shared" si="3"/>
        <v>816394.59543906734</v>
      </c>
      <c r="J27" s="20"/>
    </row>
    <row r="28" spans="1:10">
      <c r="A28" s="120">
        <f>סיווג!A37</f>
        <v>24</v>
      </c>
      <c r="B28" s="121" t="str">
        <f>IF(סיווג!B37=0,"",סיווג!B37)</f>
        <v>השעה</v>
      </c>
      <c r="C28" s="88">
        <f>'התחשיב הבסיסי'!C30</f>
        <v>0.6</v>
      </c>
      <c r="D28" s="64">
        <v>3195755.1973073515</v>
      </c>
      <c r="E28" s="109">
        <f t="shared" si="0"/>
        <v>3.3333786828157193E-2</v>
      </c>
      <c r="F28" s="117">
        <f>'תמיכה ציבורית אחרת'!I34</f>
        <v>4.7417974469030968E-2</v>
      </c>
      <c r="G28" s="118">
        <f t="shared" si="1"/>
        <v>4.0375880648594084E-2</v>
      </c>
      <c r="H28" s="118">
        <f t="shared" si="2"/>
        <v>4.0375880648594084E-2</v>
      </c>
      <c r="I28" s="119">
        <f t="shared" si="3"/>
        <v>3990025.8830935741</v>
      </c>
    </row>
    <row r="29" spans="1:10">
      <c r="A29" s="120">
        <f>סיווג!A38</f>
        <v>25</v>
      </c>
      <c r="B29" s="121" t="str">
        <f>IF(סיווג!B38=0,"",סיווג!B38)</f>
        <v>עדי</v>
      </c>
      <c r="C29" s="88">
        <f>'התחשיב הבסיסי'!C31</f>
        <v>0.2</v>
      </c>
      <c r="D29" s="64">
        <v>479774.58904683229</v>
      </c>
      <c r="E29" s="109">
        <f t="shared" si="0"/>
        <v>5.0043582469423203E-3</v>
      </c>
      <c r="F29" s="117">
        <f>'תמיכה ציבורית אחרת'!I35</f>
        <v>3.6792804857589526E-3</v>
      </c>
      <c r="G29" s="118">
        <f t="shared" si="1"/>
        <v>4.3418193663506367E-3</v>
      </c>
      <c r="H29" s="118">
        <f t="shared" si="2"/>
        <v>4.3418193663506367E-3</v>
      </c>
      <c r="I29" s="119">
        <f t="shared" si="3"/>
        <v>429067.33854879311</v>
      </c>
    </row>
    <row r="30" spans="1:10">
      <c r="A30" s="120">
        <f>סיווג!A39</f>
        <v>26</v>
      </c>
      <c r="B30" s="121" t="str">
        <f>IF(סיווג!B39=0,"",סיווג!B39)</f>
        <v>מדייטק</v>
      </c>
      <c r="C30" s="88">
        <f>'התחשיב הבסיסי'!C32</f>
        <v>0.4</v>
      </c>
      <c r="D30" s="64">
        <v>1737732.4297693174</v>
      </c>
      <c r="E30" s="109">
        <f t="shared" si="0"/>
        <v>1.8125669459009914E-2</v>
      </c>
      <c r="F30" s="117">
        <f>'תמיכה ציבורית אחרת'!I36</f>
        <v>1.815723577711361E-2</v>
      </c>
      <c r="G30" s="118">
        <f t="shared" si="1"/>
        <v>1.8141452618061764E-2</v>
      </c>
      <c r="H30" s="118">
        <f t="shared" si="2"/>
        <v>1.8141452618061764E-2</v>
      </c>
      <c r="I30" s="119">
        <f t="shared" si="3"/>
        <v>1792774.9027438888</v>
      </c>
    </row>
    <row r="31" spans="1:10">
      <c r="A31" s="120">
        <f>סיווג!A40</f>
        <v>27</v>
      </c>
      <c r="B31" s="121" t="str">
        <f>IF(סיווג!B40=0,"",סיווג!B40)</f>
        <v>חני</v>
      </c>
      <c r="C31" s="88">
        <f>'התחשיב הבסיסי'!C33</f>
        <v>0.2</v>
      </c>
      <c r="D31" s="64">
        <v>432428.91583493038</v>
      </c>
      <c r="E31" s="109">
        <f t="shared" si="0"/>
        <v>4.5105123542998286E-3</v>
      </c>
      <c r="F31" s="117">
        <f>'תמיכה ציבורית אחרת'!I37</f>
        <v>4.0872613304397303E-3</v>
      </c>
      <c r="G31" s="118">
        <f t="shared" si="1"/>
        <v>4.2988868423697799E-3</v>
      </c>
      <c r="H31" s="118">
        <f t="shared" si="2"/>
        <v>4.2988868423697799E-3</v>
      </c>
      <c r="I31" s="119">
        <f t="shared" si="3"/>
        <v>424824.66001996904</v>
      </c>
    </row>
    <row r="32" spans="1:10">
      <c r="A32" s="120">
        <f>סיווג!A41</f>
        <v>28</v>
      </c>
      <c r="B32" s="121" t="str">
        <f>IF(סיווג!B41=0,"",סיווג!B41)</f>
        <v xml:space="preserve">גשן </v>
      </c>
      <c r="C32" s="88">
        <f>'התחשיב הבסיסי'!C34</f>
        <v>0.2</v>
      </c>
      <c r="D32" s="64">
        <v>798447.00569656794</v>
      </c>
      <c r="E32" s="109">
        <f t="shared" si="0"/>
        <v>8.3283169824444111E-3</v>
      </c>
      <c r="F32" s="117">
        <f>'תמיכה ציבורית אחרת'!I38</f>
        <v>8.2327243090402954E-3</v>
      </c>
      <c r="G32" s="118">
        <f t="shared" si="1"/>
        <v>8.2805206457423532E-3</v>
      </c>
      <c r="H32" s="118">
        <f t="shared" si="2"/>
        <v>8.2805206457423532E-3</v>
      </c>
      <c r="I32" s="119">
        <f t="shared" si="3"/>
        <v>818297.73546136054</v>
      </c>
    </row>
    <row r="33" spans="1:9">
      <c r="A33" s="120">
        <f>סיווג!A42</f>
        <v>29</v>
      </c>
      <c r="B33" s="121" t="str">
        <f>IF(סיווג!B42=0,"",סיווג!B42)</f>
        <v>תיאטרון העברי</v>
      </c>
      <c r="C33" s="88">
        <f>'התחשיב הבסיסי'!C35</f>
        <v>0.25</v>
      </c>
      <c r="D33" s="64">
        <v>504948.31067219167</v>
      </c>
      <c r="E33" s="109">
        <f t="shared" si="0"/>
        <v>5.2669363915505592E-3</v>
      </c>
      <c r="F33" s="117">
        <f>'תמיכה ציבורית אחרת'!I39</f>
        <v>7.8735813186911682E-3</v>
      </c>
      <c r="G33" s="118">
        <f t="shared" si="1"/>
        <v>6.5702588551208637E-3</v>
      </c>
      <c r="H33" s="118">
        <f t="shared" si="2"/>
        <v>6.5702588551208637E-3</v>
      </c>
      <c r="I33" s="119">
        <f t="shared" si="3"/>
        <v>649286.21913463681</v>
      </c>
    </row>
    <row r="34" spans="1:9">
      <c r="A34" s="120">
        <f>סיווג!A43</f>
        <v>30</v>
      </c>
      <c r="B34" s="121" t="str">
        <f>IF(סיווג!B43=0,"",סיווג!B43)</f>
        <v>גליון ריק 2</v>
      </c>
      <c r="C34" s="88">
        <f>'התחשיב הבסיסי'!C36</f>
        <v>0</v>
      </c>
      <c r="D34" s="64">
        <v>0</v>
      </c>
      <c r="E34" s="109" t="str">
        <f t="shared" si="0"/>
        <v>---</v>
      </c>
      <c r="F34" s="117">
        <f>'תמיכה ציבורית אחרת'!I40</f>
        <v>0</v>
      </c>
      <c r="G34" s="118">
        <f t="shared" si="1"/>
        <v>0</v>
      </c>
      <c r="H34" s="118">
        <f t="shared" si="2"/>
        <v>0</v>
      </c>
      <c r="I34" s="119">
        <f t="shared" si="3"/>
        <v>0</v>
      </c>
    </row>
    <row r="35" spans="1:9">
      <c r="A35" s="120">
        <f>סיווג!A44</f>
        <v>31</v>
      </c>
      <c r="B35" s="121" t="str">
        <f>IF(סיווג!B44=0,"",סיווג!B44)</f>
        <v>גליון ריק 3</v>
      </c>
      <c r="C35" s="88">
        <f>'התחשיב הבסיסי'!C37</f>
        <v>0</v>
      </c>
      <c r="D35" s="64">
        <v>0</v>
      </c>
      <c r="E35" s="109" t="str">
        <f t="shared" si="0"/>
        <v>---</v>
      </c>
      <c r="F35" s="117">
        <f>'תמיכה ציבורית אחרת'!I41</f>
        <v>0</v>
      </c>
      <c r="G35" s="118">
        <f t="shared" si="1"/>
        <v>0</v>
      </c>
      <c r="H35" s="118">
        <f t="shared" si="2"/>
        <v>0</v>
      </c>
      <c r="I35" s="119">
        <f t="shared" si="3"/>
        <v>0</v>
      </c>
    </row>
    <row r="36" spans="1:9">
      <c r="A36" s="120">
        <f>סיווג!A45</f>
        <v>32</v>
      </c>
      <c r="B36" s="121" t="str">
        <f>IF(סיווג!B45=0,"",סיווג!B45)</f>
        <v/>
      </c>
      <c r="C36" s="88" t="str">
        <f>'התחשיב הבסיסי'!C38</f>
        <v/>
      </c>
      <c r="D36" s="64"/>
      <c r="E36" s="109" t="str">
        <f t="shared" si="0"/>
        <v/>
      </c>
      <c r="F36" s="117" t="str">
        <f>'תמיכה ציבורית אחרת'!I42</f>
        <v/>
      </c>
      <c r="G36" s="118" t="str">
        <f t="shared" si="1"/>
        <v/>
      </c>
      <c r="H36" s="118" t="str">
        <f t="shared" si="2"/>
        <v/>
      </c>
      <c r="I36" s="119" t="str">
        <f t="shared" si="3"/>
        <v/>
      </c>
    </row>
    <row r="37" spans="1:9" ht="13.5" thickBot="1">
      <c r="A37" s="122">
        <f>סיווג!A46</f>
        <v>33</v>
      </c>
      <c r="B37" s="123" t="str">
        <f>IF(סיווג!B46=0,"",סיווג!B46)</f>
        <v/>
      </c>
      <c r="C37" s="89" t="str">
        <f>'התחשיב הבסיסי'!C39</f>
        <v/>
      </c>
      <c r="D37" s="65"/>
      <c r="E37" s="110" t="str">
        <f t="shared" si="0"/>
        <v/>
      </c>
      <c r="F37" s="117" t="str">
        <f>'תמיכה ציבורית אחרת'!I43</f>
        <v/>
      </c>
      <c r="G37" s="118" t="str">
        <f t="shared" si="1"/>
        <v/>
      </c>
      <c r="H37" s="118" t="str">
        <f t="shared" si="2"/>
        <v/>
      </c>
      <c r="I37" s="119" t="str">
        <f t="shared" si="3"/>
        <v/>
      </c>
    </row>
    <row r="38" spans="1:9" ht="14.25" thickTop="1" thickBot="1">
      <c r="A38" s="670" t="s">
        <v>26</v>
      </c>
      <c r="B38" s="671"/>
      <c r="C38" s="154"/>
      <c r="D38" s="124">
        <f t="array" ref="D38">SUM(IF($C$5:$C$37="",0,IF($C$5:$C$37=0,0,D5:D37)))</f>
        <v>95871351.604369283</v>
      </c>
      <c r="E38" s="251">
        <f>SUM(E5:E37)</f>
        <v>1</v>
      </c>
      <c r="F38" s="251">
        <f>SUM(F5:F37)</f>
        <v>1</v>
      </c>
      <c r="G38" s="251">
        <f>SUM(G5:G37)</f>
        <v>1</v>
      </c>
      <c r="H38" s="251">
        <f>SUM(H5:H37)</f>
        <v>1</v>
      </c>
      <c r="I38" s="125">
        <f>SUM(I5:I37)</f>
        <v>98822015.00000003</v>
      </c>
    </row>
    <row r="39" spans="1:9" ht="13.5" thickTop="1"/>
  </sheetData>
  <sheetProtection password="CC01" sheet="1" objects="1" scenarios="1" formatColumns="0" formatRows="0"/>
  <mergeCells count="4">
    <mergeCell ref="D1:E1"/>
    <mergeCell ref="D2:E2"/>
    <mergeCell ref="A3:I3"/>
    <mergeCell ref="A38:B38"/>
  </mergeCells>
  <phoneticPr fontId="5" type="noConversion"/>
  <conditionalFormatting sqref="D34:D37">
    <cfRule type="expression" dxfId="73" priority="15" stopIfTrue="1">
      <formula>OR(ISERR(D34/3),D34&lt;0)</formula>
    </cfRule>
    <cfRule type="expression" dxfId="72" priority="16" stopIfTrue="1">
      <formula>B34=""</formula>
    </cfRule>
  </conditionalFormatting>
  <conditionalFormatting sqref="D15 D20:D21 D32:D33">
    <cfRule type="expression" dxfId="71" priority="7" stopIfTrue="1">
      <formula>OR(ISERR(D15/3),D15&lt;0)</formula>
    </cfRule>
    <cfRule type="expression" dxfId="70" priority="8" stopIfTrue="1">
      <formula>B15=""</formula>
    </cfRule>
  </conditionalFormatting>
  <conditionalFormatting sqref="D5:D14">
    <cfRule type="expression" dxfId="69" priority="5" stopIfTrue="1">
      <formula>OR(ISERR(D5/3),D5&lt;0)</formula>
    </cfRule>
    <cfRule type="expression" dxfId="68" priority="6" stopIfTrue="1">
      <formula>B5=""</formula>
    </cfRule>
  </conditionalFormatting>
  <conditionalFormatting sqref="D16:D19">
    <cfRule type="expression" dxfId="67" priority="3" stopIfTrue="1">
      <formula>OR(ISERR(D16/3),D16&lt;0)</formula>
    </cfRule>
    <cfRule type="expression" dxfId="66" priority="4" stopIfTrue="1">
      <formula>B16=""</formula>
    </cfRule>
  </conditionalFormatting>
  <conditionalFormatting sqref="D22:D31">
    <cfRule type="expression" dxfId="65" priority="1" stopIfTrue="1">
      <formula>OR(ISERR(D22/3),D22&lt;0)</formula>
    </cfRule>
    <cfRule type="expression" dxfId="64" priority="2" stopIfTrue="1">
      <formula>B22=""</formula>
    </cfRule>
  </conditionalFormatting>
  <dataValidations count="1">
    <dataValidation type="decimal" errorStyle="warning" operator="greaterThanOrEqual" allowBlank="1" showErrorMessage="1" errorTitle="טעות בהזנה" error="יש להזין סכום תמיכה שאינו שלילי" sqref="D5:D37">
      <formula1>0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scale="60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indexed="44"/>
    <pageSetUpPr fitToPage="1"/>
  </sheetPr>
  <dimension ref="A1:HG45"/>
  <sheetViews>
    <sheetView rightToLeft="1" view="pageBreakPreview" zoomScale="75" zoomScaleNormal="47" workbookViewId="0">
      <selection activeCell="C34" sqref="C34"/>
    </sheetView>
  </sheetViews>
  <sheetFormatPr defaultColWidth="13.42578125" defaultRowHeight="12.75" outlineLevelRow="1"/>
  <cols>
    <col min="1" max="1" width="8.7109375" style="111" customWidth="1"/>
    <col min="2" max="2" width="28.7109375" style="111" bestFit="1" customWidth="1"/>
    <col min="3" max="3" width="12.5703125" style="111" customWidth="1"/>
    <col min="4" max="4" width="14.140625" style="111" customWidth="1"/>
    <col min="5" max="5" width="17" style="111" customWidth="1"/>
    <col min="6" max="6" width="18.28515625" style="111" bestFit="1" customWidth="1"/>
    <col min="7" max="7" width="9.7109375" style="111" customWidth="1"/>
    <col min="8" max="8" width="14.28515625" style="111" customWidth="1"/>
    <col min="9" max="9" width="17" style="111" customWidth="1"/>
    <col min="10" max="10" width="11.7109375" style="111" hidden="1" customWidth="1"/>
    <col min="11" max="11" width="13.85546875" style="111" hidden="1" customWidth="1"/>
    <col min="12" max="12" width="9.42578125" style="111" hidden="1" customWidth="1"/>
    <col min="13" max="13" width="6" style="111" hidden="1" customWidth="1"/>
    <col min="14" max="14" width="13.85546875" style="111" hidden="1" customWidth="1"/>
    <col min="15" max="15" width="13.42578125" style="111" hidden="1" customWidth="1"/>
    <col min="16" max="16" width="12.140625" style="111" hidden="1" customWidth="1"/>
    <col min="17" max="17" width="13.85546875" style="111" hidden="1" customWidth="1"/>
    <col min="18" max="18" width="9.42578125" style="111" hidden="1" customWidth="1"/>
    <col min="19" max="19" width="6" style="111" hidden="1" customWidth="1"/>
    <col min="20" max="20" width="13.85546875" style="111" hidden="1" customWidth="1"/>
    <col min="21" max="21" width="13.42578125" style="111" hidden="1" customWidth="1"/>
    <col min="22" max="22" width="12.140625" style="111" hidden="1" customWidth="1"/>
    <col min="23" max="23" width="13.85546875" style="111" hidden="1" customWidth="1"/>
    <col min="24" max="24" width="9.42578125" style="111" hidden="1" customWidth="1"/>
    <col min="25" max="25" width="6" style="111" hidden="1" customWidth="1"/>
    <col min="26" max="26" width="13.85546875" style="111" hidden="1" customWidth="1"/>
    <col min="27" max="27" width="13.42578125" style="111" hidden="1" customWidth="1"/>
    <col min="28" max="28" width="12.140625" style="111" hidden="1" customWidth="1"/>
    <col min="29" max="29" width="13.85546875" style="111" hidden="1" customWidth="1"/>
    <col min="30" max="30" width="9.42578125" style="111" hidden="1" customWidth="1"/>
    <col min="31" max="31" width="6" style="111" hidden="1" customWidth="1"/>
    <col min="32" max="32" width="13.85546875" style="111" hidden="1" customWidth="1"/>
    <col min="33" max="33" width="13.42578125" style="111" hidden="1" customWidth="1"/>
    <col min="34" max="34" width="12.140625" style="111" hidden="1" customWidth="1"/>
    <col min="35" max="35" width="13.85546875" style="111" hidden="1" customWidth="1"/>
    <col min="36" max="36" width="9.42578125" style="111" hidden="1" customWidth="1"/>
    <col min="37" max="37" width="6" style="111" hidden="1" customWidth="1"/>
    <col min="38" max="38" width="13.85546875" style="111" hidden="1" customWidth="1"/>
    <col min="39" max="39" width="13.42578125" style="111" hidden="1" customWidth="1"/>
    <col min="40" max="40" width="12.140625" style="111" hidden="1" customWidth="1"/>
    <col min="41" max="41" width="13.85546875" style="111" hidden="1" customWidth="1"/>
    <col min="42" max="42" width="9.42578125" style="111" hidden="1" customWidth="1"/>
    <col min="43" max="43" width="6" style="111" hidden="1" customWidth="1"/>
    <col min="44" max="44" width="13.85546875" style="111" hidden="1" customWidth="1"/>
    <col min="45" max="45" width="13.42578125" style="111" hidden="1" customWidth="1"/>
    <col min="46" max="46" width="12.140625" style="111" hidden="1" customWidth="1"/>
    <col min="47" max="47" width="13.85546875" style="111" hidden="1" customWidth="1"/>
    <col min="48" max="48" width="9.42578125" style="111" hidden="1" customWidth="1"/>
    <col min="49" max="49" width="6" style="111" hidden="1" customWidth="1"/>
    <col min="50" max="50" width="13.85546875" style="111" hidden="1" customWidth="1"/>
    <col min="51" max="51" width="13.42578125" style="111" hidden="1" customWidth="1"/>
    <col min="52" max="52" width="12.140625" style="111" hidden="1" customWidth="1"/>
    <col min="53" max="53" width="13.85546875" style="111" hidden="1" customWidth="1"/>
    <col min="54" max="54" width="9.42578125" style="111" hidden="1" customWidth="1"/>
    <col min="55" max="55" width="6" style="111" hidden="1" customWidth="1"/>
    <col min="56" max="56" width="13.85546875" style="111" hidden="1" customWidth="1"/>
    <col min="57" max="57" width="13.42578125" style="111" hidden="1" customWidth="1"/>
    <col min="58" max="58" width="12.140625" style="111" hidden="1" customWidth="1"/>
    <col min="59" max="59" width="13.85546875" style="111" hidden="1" customWidth="1"/>
    <col min="60" max="60" width="9.42578125" style="111" hidden="1" customWidth="1"/>
    <col min="61" max="61" width="6" style="111" hidden="1" customWidth="1"/>
    <col min="62" max="62" width="13.85546875" style="111" hidden="1" customWidth="1"/>
    <col min="63" max="63" width="13.42578125" style="111" hidden="1" customWidth="1"/>
    <col min="64" max="64" width="12.140625" style="111" hidden="1" customWidth="1"/>
    <col min="65" max="65" width="13.85546875" style="111" hidden="1" customWidth="1"/>
    <col min="66" max="66" width="9.42578125" style="111" hidden="1" customWidth="1"/>
    <col min="67" max="67" width="6" style="111" hidden="1" customWidth="1"/>
    <col min="68" max="68" width="13.85546875" style="111" hidden="1" customWidth="1"/>
    <col min="69" max="69" width="13.42578125" style="111" hidden="1" customWidth="1"/>
    <col min="70" max="70" width="12.140625" style="111" hidden="1" customWidth="1"/>
    <col min="71" max="71" width="13.85546875" style="111" hidden="1" customWidth="1"/>
    <col min="72" max="72" width="9.42578125" style="111" hidden="1" customWidth="1"/>
    <col min="73" max="73" width="6" style="111" hidden="1" customWidth="1"/>
    <col min="74" max="74" width="13.85546875" style="111" hidden="1" customWidth="1"/>
    <col min="75" max="75" width="13.42578125" style="111" hidden="1" customWidth="1"/>
    <col min="76" max="76" width="12.140625" style="111" hidden="1" customWidth="1"/>
    <col min="77" max="77" width="13.85546875" style="111" hidden="1" customWidth="1"/>
    <col min="78" max="78" width="9.42578125" style="111" hidden="1" customWidth="1"/>
    <col min="79" max="79" width="6" style="111" hidden="1" customWidth="1"/>
    <col min="80" max="80" width="13.85546875" style="111" hidden="1" customWidth="1"/>
    <col min="81" max="81" width="13.42578125" style="111" hidden="1" customWidth="1"/>
    <col min="82" max="82" width="12.140625" style="111" hidden="1" customWidth="1"/>
    <col min="83" max="83" width="13.85546875" style="111" hidden="1" customWidth="1"/>
    <col min="84" max="84" width="9.42578125" style="111" hidden="1" customWidth="1"/>
    <col min="85" max="85" width="6" style="111" hidden="1" customWidth="1"/>
    <col min="86" max="86" width="13.85546875" style="111" hidden="1" customWidth="1"/>
    <col min="87" max="87" width="13.42578125" style="111" hidden="1" customWidth="1"/>
    <col min="88" max="88" width="12.140625" style="111" hidden="1" customWidth="1"/>
    <col min="89" max="89" width="13.85546875" style="111" hidden="1" customWidth="1"/>
    <col min="90" max="90" width="9.42578125" style="111" hidden="1" customWidth="1"/>
    <col min="91" max="91" width="6" style="111" hidden="1" customWidth="1"/>
    <col min="92" max="92" width="13.85546875" style="111" hidden="1" customWidth="1"/>
    <col min="93" max="93" width="13.42578125" style="111" hidden="1" customWidth="1"/>
    <col min="94" max="94" width="12.140625" style="111" hidden="1" customWidth="1"/>
    <col min="95" max="95" width="13.85546875" style="111" hidden="1" customWidth="1"/>
    <col min="96" max="96" width="9.42578125" style="111" hidden="1" customWidth="1"/>
    <col min="97" max="97" width="6" style="111" hidden="1" customWidth="1"/>
    <col min="98" max="98" width="13.85546875" style="111" hidden="1" customWidth="1"/>
    <col min="99" max="99" width="13.42578125" style="111" hidden="1" customWidth="1"/>
    <col min="100" max="100" width="12.140625" style="111" hidden="1" customWidth="1"/>
    <col min="101" max="101" width="13.85546875" style="111" hidden="1" customWidth="1"/>
    <col min="102" max="102" width="9.42578125" style="111" hidden="1" customWidth="1"/>
    <col min="103" max="103" width="6" style="111" hidden="1" customWidth="1"/>
    <col min="104" max="104" width="13.85546875" style="111" hidden="1" customWidth="1"/>
    <col min="105" max="105" width="13.42578125" style="111" hidden="1" customWidth="1"/>
    <col min="106" max="106" width="12.140625" style="111" hidden="1" customWidth="1"/>
    <col min="107" max="107" width="13.85546875" style="111" hidden="1" customWidth="1"/>
    <col min="108" max="108" width="9.42578125" style="111" hidden="1" customWidth="1"/>
    <col min="109" max="109" width="6" style="111" hidden="1" customWidth="1"/>
    <col min="110" max="110" width="13.85546875" style="111" hidden="1" customWidth="1"/>
    <col min="111" max="111" width="13.42578125" style="111" hidden="1" customWidth="1"/>
    <col min="112" max="112" width="12.140625" style="111" hidden="1" customWidth="1"/>
    <col min="113" max="113" width="13.85546875" style="111" hidden="1" customWidth="1"/>
    <col min="114" max="114" width="9.42578125" style="111" hidden="1" customWidth="1"/>
    <col min="115" max="115" width="6" style="111" hidden="1" customWidth="1"/>
    <col min="116" max="116" width="13.85546875" style="111" hidden="1" customWidth="1"/>
    <col min="117" max="117" width="13.42578125" style="111" hidden="1" customWidth="1"/>
    <col min="118" max="118" width="12.140625" style="111" hidden="1" customWidth="1"/>
    <col min="119" max="119" width="13.85546875" style="111" hidden="1" customWidth="1"/>
    <col min="120" max="120" width="9.42578125" style="111" hidden="1" customWidth="1"/>
    <col min="121" max="121" width="6" style="111" hidden="1" customWidth="1"/>
    <col min="122" max="122" width="13.85546875" style="111" hidden="1" customWidth="1"/>
    <col min="123" max="123" width="13.42578125" style="111" hidden="1" customWidth="1"/>
    <col min="124" max="124" width="12.140625" style="111" hidden="1" customWidth="1"/>
    <col min="125" max="125" width="13.85546875" style="111" hidden="1" customWidth="1"/>
    <col min="126" max="126" width="9.42578125" style="111" hidden="1" customWidth="1"/>
    <col min="127" max="127" width="6" style="111" hidden="1" customWidth="1"/>
    <col min="128" max="128" width="13.85546875" style="111" hidden="1" customWidth="1"/>
    <col min="129" max="129" width="13.42578125" style="111" hidden="1" customWidth="1"/>
    <col min="130" max="130" width="12.140625" style="111" hidden="1" customWidth="1"/>
    <col min="131" max="131" width="13.85546875" style="111" hidden="1" customWidth="1"/>
    <col min="132" max="132" width="9.42578125" style="111" hidden="1" customWidth="1"/>
    <col min="133" max="133" width="6" style="111" hidden="1" customWidth="1"/>
    <col min="134" max="134" width="13.85546875" style="111" hidden="1" customWidth="1"/>
    <col min="135" max="135" width="13.42578125" style="111" hidden="1" customWidth="1"/>
    <col min="136" max="136" width="12.140625" style="111" hidden="1" customWidth="1"/>
    <col min="137" max="137" width="13.85546875" style="111" hidden="1" customWidth="1"/>
    <col min="138" max="138" width="9.42578125" style="111" hidden="1" customWidth="1"/>
    <col min="139" max="139" width="6" style="111" hidden="1" customWidth="1"/>
    <col min="140" max="140" width="13.85546875" style="111" hidden="1" customWidth="1"/>
    <col min="141" max="141" width="13.42578125" style="111" hidden="1" customWidth="1"/>
    <col min="142" max="142" width="12.140625" style="111" hidden="1" customWidth="1"/>
    <col min="143" max="143" width="13.85546875" style="111" hidden="1" customWidth="1"/>
    <col min="144" max="144" width="9.42578125" style="111" hidden="1" customWidth="1"/>
    <col min="145" max="145" width="6" style="111" hidden="1" customWidth="1"/>
    <col min="146" max="146" width="13.85546875" style="111" hidden="1" customWidth="1"/>
    <col min="147" max="147" width="13.42578125" style="111" hidden="1" customWidth="1"/>
    <col min="148" max="148" width="12.140625" style="111" hidden="1" customWidth="1"/>
    <col min="149" max="149" width="13.85546875" style="111" hidden="1" customWidth="1"/>
    <col min="150" max="150" width="9.42578125" style="111" hidden="1" customWidth="1"/>
    <col min="151" max="151" width="6" style="111" hidden="1" customWidth="1"/>
    <col min="152" max="152" width="13.85546875" style="111" hidden="1" customWidth="1"/>
    <col min="153" max="153" width="13.42578125" style="111" hidden="1" customWidth="1"/>
    <col min="154" max="154" width="12.140625" style="111" hidden="1" customWidth="1"/>
    <col min="155" max="155" width="13.85546875" style="111" hidden="1" customWidth="1"/>
    <col min="156" max="156" width="9.42578125" style="111" hidden="1" customWidth="1"/>
    <col min="157" max="157" width="6" style="111" hidden="1" customWidth="1"/>
    <col min="158" max="158" width="13.85546875" style="111" hidden="1" customWidth="1"/>
    <col min="159" max="159" width="13.42578125" style="111" hidden="1" customWidth="1"/>
    <col min="160" max="160" width="12.140625" style="111" hidden="1" customWidth="1"/>
    <col min="161" max="161" width="13.85546875" style="111" hidden="1" customWidth="1"/>
    <col min="162" max="162" width="9.42578125" style="111" hidden="1" customWidth="1"/>
    <col min="163" max="163" width="6" style="111" hidden="1" customWidth="1"/>
    <col min="164" max="164" width="13.85546875" style="111" hidden="1" customWidth="1"/>
    <col min="165" max="165" width="13.42578125" style="111" hidden="1" customWidth="1"/>
    <col min="166" max="166" width="12.140625" style="111" hidden="1" customWidth="1"/>
    <col min="167" max="167" width="13.85546875" style="111" hidden="1" customWidth="1"/>
    <col min="168" max="168" width="9.42578125" style="111" hidden="1" customWidth="1"/>
    <col min="169" max="169" width="6" style="111" hidden="1" customWidth="1"/>
    <col min="170" max="170" width="13.85546875" style="111" hidden="1" customWidth="1"/>
    <col min="171" max="171" width="13.42578125" style="111" hidden="1" customWidth="1"/>
    <col min="172" max="172" width="12.140625" style="111" hidden="1" customWidth="1"/>
    <col min="173" max="173" width="13.85546875" style="111" hidden="1" customWidth="1"/>
    <col min="174" max="174" width="9.42578125" style="111" hidden="1" customWidth="1"/>
    <col min="175" max="175" width="6" style="111" hidden="1" customWidth="1"/>
    <col min="176" max="176" width="13.85546875" style="111" hidden="1" customWidth="1"/>
    <col min="177" max="177" width="13.42578125" style="111" hidden="1" customWidth="1"/>
    <col min="178" max="178" width="12.140625" style="111" hidden="1" customWidth="1"/>
    <col min="179" max="179" width="13.85546875" style="111" hidden="1" customWidth="1"/>
    <col min="180" max="180" width="9.42578125" style="111" hidden="1" customWidth="1"/>
    <col min="181" max="181" width="6" style="111" hidden="1" customWidth="1"/>
    <col min="182" max="182" width="13.85546875" style="111" hidden="1" customWidth="1"/>
    <col min="183" max="183" width="13.42578125" style="111" hidden="1" customWidth="1"/>
    <col min="184" max="184" width="12.140625" style="111" hidden="1" customWidth="1"/>
    <col min="185" max="185" width="13.85546875" style="111" hidden="1" customWidth="1"/>
    <col min="186" max="186" width="9.42578125" style="111" hidden="1" customWidth="1"/>
    <col min="187" max="187" width="6" style="111" hidden="1" customWidth="1"/>
    <col min="188" max="188" width="13.85546875" style="111" hidden="1" customWidth="1"/>
    <col min="189" max="189" width="13.42578125" style="111" hidden="1" customWidth="1"/>
    <col min="190" max="190" width="12.140625" style="111" hidden="1" customWidth="1"/>
    <col min="191" max="191" width="13.85546875" style="111" hidden="1" customWidth="1"/>
    <col min="192" max="192" width="9.42578125" style="111" hidden="1" customWidth="1"/>
    <col min="193" max="193" width="6" style="111" hidden="1" customWidth="1"/>
    <col min="194" max="194" width="13.85546875" style="111" hidden="1" customWidth="1"/>
    <col min="195" max="195" width="13.42578125" style="111" hidden="1" customWidth="1"/>
    <col min="196" max="196" width="12.140625" style="111" hidden="1" customWidth="1"/>
    <col min="197" max="197" width="13.85546875" style="111" hidden="1" customWidth="1"/>
    <col min="198" max="198" width="9.42578125" style="111" hidden="1" customWidth="1"/>
    <col min="199" max="199" width="6" style="111" hidden="1" customWidth="1"/>
    <col min="200" max="200" width="13.85546875" style="111" hidden="1" customWidth="1"/>
    <col min="201" max="201" width="13.42578125" style="111" hidden="1" customWidth="1"/>
    <col min="202" max="202" width="12.140625" style="111" hidden="1" customWidth="1"/>
    <col min="203" max="203" width="13.85546875" style="111" hidden="1" customWidth="1"/>
    <col min="204" max="204" width="9.42578125" style="111" hidden="1" customWidth="1"/>
    <col min="205" max="205" width="6" style="111" hidden="1" customWidth="1"/>
    <col min="206" max="206" width="13.85546875" style="111" hidden="1" customWidth="1"/>
    <col min="207" max="207" width="13.42578125" style="111" hidden="1" customWidth="1"/>
    <col min="208" max="208" width="12.140625" style="111" customWidth="1"/>
    <col min="209" max="209" width="16.42578125" style="111" customWidth="1"/>
    <col min="210" max="210" width="12.42578125" style="111" hidden="1" customWidth="1"/>
    <col min="211" max="211" width="12.28515625" style="111" hidden="1" customWidth="1"/>
    <col min="212" max="212" width="22.85546875" style="111" hidden="1" customWidth="1"/>
    <col min="213" max="214" width="2.42578125" style="111" hidden="1" customWidth="1"/>
    <col min="215" max="215" width="7.5703125" style="111" hidden="1" customWidth="1"/>
    <col min="216" max="216" width="13.42578125" style="111" customWidth="1"/>
    <col min="217" max="217" width="12.140625" style="111" customWidth="1"/>
    <col min="218" max="218" width="13.85546875" style="111" customWidth="1"/>
    <col min="219" max="219" width="9.42578125" style="111" customWidth="1"/>
    <col min="220" max="220" width="13.85546875" style="111" customWidth="1"/>
    <col min="221" max="221" width="13.42578125" style="111" customWidth="1"/>
    <col min="222" max="222" width="11.28515625" style="111" customWidth="1"/>
    <col min="223" max="223" width="13.85546875" style="111" customWidth="1"/>
    <col min="224" max="224" width="9.42578125" style="111" customWidth="1"/>
    <col min="225" max="225" width="13.85546875" style="111" customWidth="1"/>
    <col min="226" max="226" width="13.42578125" style="111" customWidth="1"/>
    <col min="227" max="227" width="11.28515625" style="111" customWidth="1"/>
    <col min="228" max="228" width="13.85546875" style="111" customWidth="1"/>
    <col min="229" max="229" width="9.42578125" style="111" customWidth="1"/>
    <col min="230" max="230" width="13.85546875" style="111" customWidth="1"/>
    <col min="231" max="231" width="13.42578125" style="111" customWidth="1"/>
    <col min="232" max="232" width="12.140625" style="111" customWidth="1"/>
    <col min="233" max="233" width="13.85546875" style="111" customWidth="1"/>
    <col min="234" max="234" width="9.42578125" style="111" customWidth="1"/>
    <col min="235" max="235" width="13.85546875" style="111" customWidth="1"/>
    <col min="236" max="236" width="13.42578125" style="111" customWidth="1"/>
    <col min="237" max="237" width="11.28515625" style="111" customWidth="1"/>
    <col min="238" max="238" width="13.85546875" style="111" customWidth="1"/>
    <col min="239" max="239" width="9.42578125" style="111" customWidth="1"/>
    <col min="240" max="240" width="13.85546875" style="111" customWidth="1"/>
    <col min="241" max="241" width="13.42578125" style="111" customWidth="1"/>
    <col min="242" max="242" width="11.28515625" style="111" customWidth="1"/>
    <col min="243" max="243" width="13.85546875" style="111" customWidth="1"/>
    <col min="244" max="244" width="9.42578125" style="111" customWidth="1"/>
    <col min="245" max="245" width="13.85546875" style="111" customWidth="1"/>
    <col min="246" max="246" width="13.42578125" style="111" customWidth="1"/>
    <col min="247" max="247" width="12.140625" style="111" customWidth="1"/>
    <col min="248" max="248" width="13.85546875" style="111" customWidth="1"/>
    <col min="249" max="249" width="9.42578125" style="111" customWidth="1"/>
    <col min="250" max="250" width="13.85546875" style="111" customWidth="1"/>
    <col min="251" max="251" width="13.42578125" style="111" customWidth="1"/>
    <col min="252" max="252" width="11.28515625" style="111" customWidth="1"/>
    <col min="253" max="253" width="13.85546875" style="111" customWidth="1"/>
    <col min="254" max="254" width="9.42578125" style="111" customWidth="1"/>
    <col min="255" max="255" width="13.85546875" style="111" customWidth="1"/>
    <col min="256" max="16384" width="13.42578125" style="111"/>
  </cols>
  <sheetData>
    <row r="1" spans="1:215" ht="17.25" outlineLevel="1" thickTop="1" thickBot="1">
      <c r="B1" s="672" t="str">
        <f>פרמטרים!A63</f>
        <v>מנגנון ההגנה</v>
      </c>
      <c r="C1" s="673"/>
    </row>
    <row r="2" spans="1:215" ht="17.25" outlineLevel="1" thickTop="1" thickBot="1">
      <c r="B2" s="234" t="str">
        <f>פרמטרים!A64</f>
        <v>סעיף</v>
      </c>
      <c r="C2" s="235" t="str">
        <f>פרמטרים!B64</f>
        <v>ערך</v>
      </c>
    </row>
    <row r="3" spans="1:215" outlineLevel="1">
      <c r="B3" s="258" t="str">
        <f>פרמטרים!A65</f>
        <v>שיעור פיחות מירבי בתמיכה</v>
      </c>
      <c r="C3" s="236">
        <f>פרמטרים!B65</f>
        <v>0.2</v>
      </c>
      <c r="D3" s="223"/>
      <c r="E3" s="223"/>
    </row>
    <row r="4" spans="1:215" ht="16.899999999999999" customHeight="1" outlineLevel="1" thickBot="1">
      <c r="B4" s="259" t="str">
        <f>פרמטרים!A66</f>
        <v>שיעור תמיכה מינימלי משנה קודמת</v>
      </c>
      <c r="C4" s="237">
        <f>פרמטרים!B66</f>
        <v>0.8</v>
      </c>
      <c r="D4" s="223"/>
      <c r="E4" s="223"/>
    </row>
    <row r="5" spans="1:215" ht="17.25" thickTop="1" thickBot="1">
      <c r="H5" s="153" t="str">
        <f>פרמטרים!B1</f>
        <v>שנת התקציב</v>
      </c>
      <c r="I5" s="233">
        <f>פרמטרים!D1</f>
        <v>2018</v>
      </c>
    </row>
    <row r="6" spans="1:215" ht="18.75" thickBot="1">
      <c r="H6" s="260" t="str">
        <f>פרמטרים!B2</f>
        <v>תקציב</v>
      </c>
      <c r="I6" s="155">
        <f>פרמטרים!D2</f>
        <v>98822015</v>
      </c>
    </row>
    <row r="7" spans="1:215" ht="17.25" thickTop="1" thickBot="1">
      <c r="A7" s="554" t="s">
        <v>170</v>
      </c>
      <c r="B7" s="567"/>
      <c r="C7" s="567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7"/>
      <c r="AQ7" s="567"/>
      <c r="AR7" s="567"/>
      <c r="AS7" s="567"/>
      <c r="AT7" s="567"/>
      <c r="AU7" s="567"/>
      <c r="AV7" s="567"/>
      <c r="AW7" s="567"/>
      <c r="AX7" s="567"/>
      <c r="AY7" s="567"/>
      <c r="AZ7" s="567"/>
      <c r="BA7" s="567"/>
      <c r="BB7" s="567"/>
      <c r="BC7" s="567"/>
      <c r="BD7" s="567"/>
      <c r="BE7" s="567"/>
      <c r="BF7" s="567"/>
      <c r="BG7" s="567"/>
      <c r="BH7" s="567"/>
      <c r="BI7" s="567"/>
      <c r="BJ7" s="567"/>
      <c r="BK7" s="567"/>
      <c r="BL7" s="567"/>
      <c r="BM7" s="567"/>
      <c r="BN7" s="567"/>
      <c r="BO7" s="567"/>
      <c r="BP7" s="567"/>
      <c r="BQ7" s="567"/>
      <c r="BR7" s="567"/>
      <c r="BS7" s="567"/>
      <c r="BT7" s="567"/>
      <c r="BU7" s="567"/>
      <c r="BV7" s="567"/>
      <c r="BW7" s="567"/>
      <c r="BX7" s="567"/>
      <c r="BY7" s="567"/>
      <c r="BZ7" s="567"/>
      <c r="CA7" s="567"/>
      <c r="CB7" s="567"/>
      <c r="CC7" s="567"/>
      <c r="CD7" s="567"/>
      <c r="CE7" s="567"/>
      <c r="CF7" s="567"/>
      <c r="CG7" s="567"/>
      <c r="CH7" s="567"/>
      <c r="CI7" s="567"/>
      <c r="CJ7" s="567"/>
      <c r="CK7" s="567"/>
      <c r="CL7" s="567"/>
      <c r="CM7" s="567"/>
      <c r="CN7" s="567"/>
      <c r="CO7" s="567"/>
      <c r="CP7" s="567"/>
      <c r="CQ7" s="567"/>
      <c r="CR7" s="567"/>
      <c r="CS7" s="567"/>
      <c r="CT7" s="567"/>
      <c r="CU7" s="567"/>
      <c r="CV7" s="567"/>
      <c r="CW7" s="567"/>
      <c r="CX7" s="567"/>
      <c r="CY7" s="567"/>
      <c r="CZ7" s="567"/>
      <c r="DA7" s="567"/>
      <c r="DB7" s="567"/>
      <c r="DC7" s="567"/>
      <c r="DD7" s="567"/>
      <c r="DE7" s="567"/>
      <c r="DF7" s="567"/>
      <c r="DG7" s="567"/>
      <c r="DH7" s="567"/>
      <c r="DI7" s="567"/>
      <c r="DJ7" s="567"/>
      <c r="DK7" s="567"/>
      <c r="DL7" s="567"/>
      <c r="DM7" s="567"/>
      <c r="DN7" s="567"/>
      <c r="DO7" s="567"/>
      <c r="DP7" s="567"/>
      <c r="DQ7" s="567"/>
      <c r="DR7" s="567"/>
      <c r="DS7" s="567"/>
      <c r="DT7" s="567"/>
      <c r="DU7" s="567"/>
      <c r="DV7" s="567"/>
      <c r="DW7" s="567"/>
      <c r="DX7" s="567"/>
      <c r="DY7" s="567"/>
      <c r="DZ7" s="567"/>
      <c r="EA7" s="567"/>
      <c r="EB7" s="567"/>
      <c r="EC7" s="567"/>
      <c r="ED7" s="567"/>
      <c r="EE7" s="567"/>
      <c r="EF7" s="567"/>
      <c r="EG7" s="567"/>
      <c r="EH7" s="567"/>
      <c r="EI7" s="567"/>
      <c r="EJ7" s="567"/>
      <c r="EK7" s="567"/>
      <c r="EL7" s="567"/>
      <c r="EM7" s="567"/>
      <c r="EN7" s="567"/>
      <c r="EO7" s="567"/>
      <c r="EP7" s="567"/>
      <c r="EQ7" s="567"/>
      <c r="ER7" s="567"/>
      <c r="ES7" s="567"/>
      <c r="ET7" s="567"/>
      <c r="EU7" s="567"/>
      <c r="EV7" s="567"/>
      <c r="EW7" s="567"/>
      <c r="EX7" s="567"/>
      <c r="EY7" s="567"/>
      <c r="EZ7" s="567"/>
      <c r="FA7" s="567"/>
      <c r="FB7" s="567"/>
      <c r="FC7" s="567"/>
      <c r="FD7" s="567"/>
      <c r="FE7" s="567"/>
      <c r="FF7" s="567"/>
      <c r="FG7" s="567"/>
      <c r="FH7" s="567"/>
      <c r="FI7" s="567"/>
      <c r="FJ7" s="567"/>
      <c r="FK7" s="567"/>
      <c r="FL7" s="567"/>
      <c r="FM7" s="567"/>
      <c r="FN7" s="567"/>
      <c r="FO7" s="567"/>
      <c r="FP7" s="567"/>
      <c r="FQ7" s="567"/>
      <c r="FR7" s="567"/>
      <c r="FS7" s="567"/>
      <c r="FT7" s="567"/>
      <c r="FU7" s="567"/>
      <c r="FV7" s="567"/>
      <c r="FW7" s="567"/>
      <c r="FX7" s="567"/>
      <c r="FY7" s="567"/>
      <c r="FZ7" s="567"/>
      <c r="GA7" s="567"/>
      <c r="GB7" s="567"/>
      <c r="GC7" s="567"/>
      <c r="GD7" s="567"/>
      <c r="GE7" s="567"/>
      <c r="GF7" s="567"/>
      <c r="GG7" s="567"/>
      <c r="GH7" s="567"/>
      <c r="GI7" s="567"/>
      <c r="GJ7" s="567"/>
      <c r="GK7" s="567"/>
      <c r="GL7" s="567"/>
      <c r="GM7" s="567"/>
      <c r="GN7" s="567"/>
      <c r="GO7" s="567"/>
      <c r="GP7" s="567"/>
      <c r="GQ7" s="567"/>
      <c r="GR7" s="567"/>
      <c r="GS7" s="567"/>
      <c r="GT7" s="567"/>
      <c r="GU7" s="567"/>
      <c r="GV7" s="567"/>
      <c r="GW7" s="567"/>
      <c r="GX7" s="567"/>
      <c r="GY7" s="567"/>
      <c r="GZ7" s="567"/>
      <c r="HA7" s="555"/>
    </row>
    <row r="8" spans="1:215" ht="52.5" customHeight="1" thickTop="1" thickBot="1">
      <c r="A8" s="112" t="str">
        <f>ייצוב!A4</f>
        <v>מספר סידורי</v>
      </c>
      <c r="B8" s="113" t="str">
        <f>ייצוב!B4</f>
        <v>שם התיאטרון</v>
      </c>
      <c r="C8" s="113" t="s">
        <v>142</v>
      </c>
      <c r="D8" s="113" t="s">
        <v>123</v>
      </c>
      <c r="E8" s="113" t="s">
        <v>212</v>
      </c>
      <c r="F8" s="113" t="s">
        <v>171</v>
      </c>
      <c r="G8" s="113" t="s">
        <v>143</v>
      </c>
      <c r="H8" s="113" t="s">
        <v>173</v>
      </c>
      <c r="I8" s="113" t="s">
        <v>126</v>
      </c>
      <c r="J8" s="126" t="s">
        <v>172</v>
      </c>
      <c r="K8" s="113" t="s">
        <v>171</v>
      </c>
      <c r="L8" s="113" t="s">
        <v>143</v>
      </c>
      <c r="M8" s="113" t="s">
        <v>213</v>
      </c>
      <c r="N8" s="113" t="s">
        <v>173</v>
      </c>
      <c r="O8" s="113" t="s">
        <v>126</v>
      </c>
      <c r="P8" s="126" t="str">
        <f>"שיעור יחסי"
&amp;" (הרצה "&amp;P43&amp;")"</f>
        <v>שיעור יחסי (הרצה 2)</v>
      </c>
      <c r="Q8" s="113" t="s">
        <v>171</v>
      </c>
      <c r="R8" s="113" t="s">
        <v>143</v>
      </c>
      <c r="S8" s="113" t="s">
        <v>213</v>
      </c>
      <c r="T8" s="113" t="s">
        <v>173</v>
      </c>
      <c r="U8" s="113" t="s">
        <v>126</v>
      </c>
      <c r="V8" s="126" t="str">
        <f>"שיעור יחסי"
&amp;" (הרצה "&amp;V43&amp;")"</f>
        <v>שיעור יחסי (הרצה 3)</v>
      </c>
      <c r="W8" s="113" t="s">
        <v>171</v>
      </c>
      <c r="X8" s="113" t="s">
        <v>143</v>
      </c>
      <c r="Y8" s="113" t="s">
        <v>213</v>
      </c>
      <c r="Z8" s="113" t="s">
        <v>173</v>
      </c>
      <c r="AA8" s="113" t="s">
        <v>126</v>
      </c>
      <c r="AB8" s="126" t="str">
        <f>"שיעור יחסי"
&amp;" (הרצה "&amp;AB43&amp;")"</f>
        <v>שיעור יחסי (הרצה 4)</v>
      </c>
      <c r="AC8" s="113" t="s">
        <v>171</v>
      </c>
      <c r="AD8" s="113" t="s">
        <v>143</v>
      </c>
      <c r="AE8" s="113" t="s">
        <v>213</v>
      </c>
      <c r="AF8" s="113" t="s">
        <v>173</v>
      </c>
      <c r="AG8" s="113" t="s">
        <v>126</v>
      </c>
      <c r="AH8" s="126" t="str">
        <f>"שיעור יחסי"
&amp;" (הרצה "&amp;AH43&amp;")"</f>
        <v>שיעור יחסי (הרצה 5)</v>
      </c>
      <c r="AI8" s="113" t="s">
        <v>171</v>
      </c>
      <c r="AJ8" s="113" t="s">
        <v>143</v>
      </c>
      <c r="AK8" s="113" t="s">
        <v>213</v>
      </c>
      <c r="AL8" s="113" t="s">
        <v>173</v>
      </c>
      <c r="AM8" s="113" t="s">
        <v>126</v>
      </c>
      <c r="AN8" s="126" t="str">
        <f>"שיעור יחסי"
&amp;" (הרצה "&amp;AN43&amp;")"</f>
        <v>שיעור יחסי (הרצה 6)</v>
      </c>
      <c r="AO8" s="113" t="s">
        <v>171</v>
      </c>
      <c r="AP8" s="113" t="s">
        <v>143</v>
      </c>
      <c r="AQ8" s="113" t="s">
        <v>213</v>
      </c>
      <c r="AR8" s="113" t="s">
        <v>173</v>
      </c>
      <c r="AS8" s="113" t="s">
        <v>126</v>
      </c>
      <c r="AT8" s="126" t="str">
        <f>"שיעור יחסי"
&amp;" (הרצה "&amp;AT43&amp;")"</f>
        <v>שיעור יחסי (הרצה 7)</v>
      </c>
      <c r="AU8" s="113" t="s">
        <v>171</v>
      </c>
      <c r="AV8" s="113" t="s">
        <v>143</v>
      </c>
      <c r="AW8" s="113" t="s">
        <v>213</v>
      </c>
      <c r="AX8" s="113" t="s">
        <v>173</v>
      </c>
      <c r="AY8" s="113" t="s">
        <v>126</v>
      </c>
      <c r="AZ8" s="126" t="str">
        <f>"שיעור יחסי"
&amp;" (הרצה "&amp;AZ43&amp;")"</f>
        <v>שיעור יחסי (הרצה 8)</v>
      </c>
      <c r="BA8" s="113" t="s">
        <v>171</v>
      </c>
      <c r="BB8" s="113" t="s">
        <v>143</v>
      </c>
      <c r="BC8" s="113" t="s">
        <v>213</v>
      </c>
      <c r="BD8" s="113" t="s">
        <v>173</v>
      </c>
      <c r="BE8" s="113" t="s">
        <v>126</v>
      </c>
      <c r="BF8" s="126" t="str">
        <f>"שיעור יחסי"
&amp;" (הרצה "&amp;BF43&amp;")"</f>
        <v>שיעור יחסי (הרצה 9)</v>
      </c>
      <c r="BG8" s="113" t="s">
        <v>171</v>
      </c>
      <c r="BH8" s="113" t="s">
        <v>143</v>
      </c>
      <c r="BI8" s="113" t="s">
        <v>213</v>
      </c>
      <c r="BJ8" s="113" t="s">
        <v>173</v>
      </c>
      <c r="BK8" s="113" t="s">
        <v>126</v>
      </c>
      <c r="BL8" s="126" t="str">
        <f>"שיעור יחסי"
&amp;" (הרצה "&amp;BL43&amp;")"</f>
        <v>שיעור יחסי (הרצה 10)</v>
      </c>
      <c r="BM8" s="113" t="s">
        <v>171</v>
      </c>
      <c r="BN8" s="113" t="s">
        <v>143</v>
      </c>
      <c r="BO8" s="113" t="s">
        <v>213</v>
      </c>
      <c r="BP8" s="113" t="s">
        <v>173</v>
      </c>
      <c r="BQ8" s="113" t="s">
        <v>126</v>
      </c>
      <c r="BR8" s="126" t="str">
        <f>"שיעור יחסי"
&amp;" (הרצה "&amp;BR43&amp;")"</f>
        <v>שיעור יחסי (הרצה 11)</v>
      </c>
      <c r="BS8" s="113" t="s">
        <v>171</v>
      </c>
      <c r="BT8" s="113" t="s">
        <v>143</v>
      </c>
      <c r="BU8" s="113" t="s">
        <v>213</v>
      </c>
      <c r="BV8" s="113" t="s">
        <v>173</v>
      </c>
      <c r="BW8" s="113" t="s">
        <v>126</v>
      </c>
      <c r="BX8" s="126" t="str">
        <f>"שיעור יחסי"
&amp;" (הרצה "&amp;BX43&amp;")"</f>
        <v>שיעור יחסי (הרצה 12)</v>
      </c>
      <c r="BY8" s="113" t="s">
        <v>171</v>
      </c>
      <c r="BZ8" s="113" t="s">
        <v>143</v>
      </c>
      <c r="CA8" s="113" t="s">
        <v>213</v>
      </c>
      <c r="CB8" s="113" t="s">
        <v>173</v>
      </c>
      <c r="CC8" s="113" t="s">
        <v>126</v>
      </c>
      <c r="CD8" s="126" t="str">
        <f>"שיעור יחסי"
&amp;" (הרצה "&amp;CD43&amp;")"</f>
        <v>שיעור יחסי (הרצה 13)</v>
      </c>
      <c r="CE8" s="113" t="s">
        <v>171</v>
      </c>
      <c r="CF8" s="113" t="s">
        <v>143</v>
      </c>
      <c r="CG8" s="113" t="s">
        <v>213</v>
      </c>
      <c r="CH8" s="113" t="s">
        <v>173</v>
      </c>
      <c r="CI8" s="113" t="s">
        <v>126</v>
      </c>
      <c r="CJ8" s="126" t="str">
        <f>"שיעור יחסי"
&amp;" (הרצה "&amp;CJ43&amp;")"</f>
        <v>שיעור יחסי (הרצה 14)</v>
      </c>
      <c r="CK8" s="113" t="s">
        <v>171</v>
      </c>
      <c r="CL8" s="113" t="s">
        <v>143</v>
      </c>
      <c r="CM8" s="113" t="s">
        <v>213</v>
      </c>
      <c r="CN8" s="113" t="s">
        <v>173</v>
      </c>
      <c r="CO8" s="113" t="s">
        <v>126</v>
      </c>
      <c r="CP8" s="126" t="str">
        <f>"שיעור יחסי"
&amp;" (הרצה "&amp;CP43&amp;")"</f>
        <v>שיעור יחסי (הרצה 15)</v>
      </c>
      <c r="CQ8" s="113" t="s">
        <v>171</v>
      </c>
      <c r="CR8" s="113" t="s">
        <v>143</v>
      </c>
      <c r="CS8" s="113" t="s">
        <v>213</v>
      </c>
      <c r="CT8" s="113" t="s">
        <v>173</v>
      </c>
      <c r="CU8" s="113" t="s">
        <v>126</v>
      </c>
      <c r="CV8" s="126" t="str">
        <f>"שיעור יחסי"
&amp;" (הרצה "&amp;CV43&amp;")"</f>
        <v>שיעור יחסי (הרצה 16)</v>
      </c>
      <c r="CW8" s="113" t="s">
        <v>171</v>
      </c>
      <c r="CX8" s="113" t="s">
        <v>143</v>
      </c>
      <c r="CY8" s="113" t="s">
        <v>213</v>
      </c>
      <c r="CZ8" s="113" t="s">
        <v>173</v>
      </c>
      <c r="DA8" s="113" t="s">
        <v>126</v>
      </c>
      <c r="DB8" s="126" t="str">
        <f>"שיעור יחסי"
&amp;" (הרצה "&amp;DB43&amp;")"</f>
        <v>שיעור יחסי (הרצה 17)</v>
      </c>
      <c r="DC8" s="113" t="s">
        <v>171</v>
      </c>
      <c r="DD8" s="113" t="s">
        <v>143</v>
      </c>
      <c r="DE8" s="113" t="s">
        <v>213</v>
      </c>
      <c r="DF8" s="113" t="s">
        <v>173</v>
      </c>
      <c r="DG8" s="113" t="s">
        <v>126</v>
      </c>
      <c r="DH8" s="126" t="str">
        <f>"שיעור יחסי"
&amp;" (הרצה "&amp;DH43&amp;")"</f>
        <v>שיעור יחסי (הרצה 18)</v>
      </c>
      <c r="DI8" s="113" t="s">
        <v>171</v>
      </c>
      <c r="DJ8" s="113" t="s">
        <v>143</v>
      </c>
      <c r="DK8" s="113" t="s">
        <v>213</v>
      </c>
      <c r="DL8" s="113" t="s">
        <v>173</v>
      </c>
      <c r="DM8" s="113" t="s">
        <v>126</v>
      </c>
      <c r="DN8" s="126" t="str">
        <f>"שיעור יחסי"
&amp;" (הרצה "&amp;DN43&amp;")"</f>
        <v>שיעור יחסי (הרצה 19)</v>
      </c>
      <c r="DO8" s="113" t="s">
        <v>171</v>
      </c>
      <c r="DP8" s="113" t="s">
        <v>143</v>
      </c>
      <c r="DQ8" s="113" t="s">
        <v>213</v>
      </c>
      <c r="DR8" s="113" t="s">
        <v>173</v>
      </c>
      <c r="DS8" s="113" t="s">
        <v>126</v>
      </c>
      <c r="DT8" s="126" t="str">
        <f>"שיעור יחסי"
&amp;" (הרצה "&amp;DT43&amp;")"</f>
        <v>שיעור יחסי (הרצה 20)</v>
      </c>
      <c r="DU8" s="113" t="s">
        <v>171</v>
      </c>
      <c r="DV8" s="113" t="s">
        <v>143</v>
      </c>
      <c r="DW8" s="113" t="s">
        <v>213</v>
      </c>
      <c r="DX8" s="113" t="s">
        <v>173</v>
      </c>
      <c r="DY8" s="113" t="s">
        <v>126</v>
      </c>
      <c r="DZ8" s="126" t="str">
        <f>"שיעור יחסי"
&amp;" (הרצה "&amp;DZ43&amp;")"</f>
        <v>שיעור יחסי (הרצה 21)</v>
      </c>
      <c r="EA8" s="113" t="s">
        <v>171</v>
      </c>
      <c r="EB8" s="113" t="s">
        <v>143</v>
      </c>
      <c r="EC8" s="113" t="s">
        <v>213</v>
      </c>
      <c r="ED8" s="113" t="s">
        <v>173</v>
      </c>
      <c r="EE8" s="113" t="s">
        <v>126</v>
      </c>
      <c r="EF8" s="126" t="str">
        <f>"שיעור יחסי"
&amp;" (הרצה "&amp;EF43&amp;")"</f>
        <v>שיעור יחסי (הרצה 22)</v>
      </c>
      <c r="EG8" s="113" t="s">
        <v>171</v>
      </c>
      <c r="EH8" s="113" t="s">
        <v>143</v>
      </c>
      <c r="EI8" s="113" t="s">
        <v>213</v>
      </c>
      <c r="EJ8" s="113" t="s">
        <v>173</v>
      </c>
      <c r="EK8" s="113" t="s">
        <v>126</v>
      </c>
      <c r="EL8" s="126" t="str">
        <f>"שיעור יחסי"
&amp;" (הרצה "&amp;EL43&amp;")"</f>
        <v>שיעור יחסי (הרצה 23)</v>
      </c>
      <c r="EM8" s="113" t="s">
        <v>171</v>
      </c>
      <c r="EN8" s="113" t="s">
        <v>143</v>
      </c>
      <c r="EO8" s="113" t="s">
        <v>213</v>
      </c>
      <c r="EP8" s="113" t="s">
        <v>173</v>
      </c>
      <c r="EQ8" s="113" t="s">
        <v>126</v>
      </c>
      <c r="ER8" s="126" t="str">
        <f>"שיעור יחסי"
&amp;" (הרצה "&amp;ER43&amp;")"</f>
        <v>שיעור יחסי (הרצה 24)</v>
      </c>
      <c r="ES8" s="113" t="s">
        <v>171</v>
      </c>
      <c r="ET8" s="113" t="s">
        <v>143</v>
      </c>
      <c r="EU8" s="113" t="s">
        <v>213</v>
      </c>
      <c r="EV8" s="113" t="s">
        <v>173</v>
      </c>
      <c r="EW8" s="113" t="s">
        <v>126</v>
      </c>
      <c r="EX8" s="126" t="str">
        <f>"שיעור יחסי"
&amp;" (הרצה "&amp;EX43&amp;")"</f>
        <v>שיעור יחסי (הרצה 25)</v>
      </c>
      <c r="EY8" s="113" t="s">
        <v>171</v>
      </c>
      <c r="EZ8" s="113" t="s">
        <v>143</v>
      </c>
      <c r="FA8" s="113" t="s">
        <v>213</v>
      </c>
      <c r="FB8" s="113" t="s">
        <v>173</v>
      </c>
      <c r="FC8" s="113" t="s">
        <v>126</v>
      </c>
      <c r="FD8" s="126" t="str">
        <f>"שיעור יחסי"
&amp;" (הרצה "&amp;FD43&amp;")"</f>
        <v>שיעור יחסי (הרצה 26)</v>
      </c>
      <c r="FE8" s="113" t="s">
        <v>171</v>
      </c>
      <c r="FF8" s="113" t="s">
        <v>143</v>
      </c>
      <c r="FG8" s="113" t="s">
        <v>213</v>
      </c>
      <c r="FH8" s="113" t="s">
        <v>173</v>
      </c>
      <c r="FI8" s="113" t="s">
        <v>126</v>
      </c>
      <c r="FJ8" s="126" t="str">
        <f>"שיעור יחסי"
&amp;" (הרצה "&amp;FJ43&amp;")"</f>
        <v>שיעור יחסי (הרצה 27)</v>
      </c>
      <c r="FK8" s="113" t="s">
        <v>171</v>
      </c>
      <c r="FL8" s="113" t="s">
        <v>143</v>
      </c>
      <c r="FM8" s="113" t="s">
        <v>213</v>
      </c>
      <c r="FN8" s="113" t="s">
        <v>173</v>
      </c>
      <c r="FO8" s="113" t="s">
        <v>126</v>
      </c>
      <c r="FP8" s="126" t="str">
        <f>"שיעור יחסי"
&amp;" (הרצה "&amp;FP43&amp;")"</f>
        <v>שיעור יחסי (הרצה 28)</v>
      </c>
      <c r="FQ8" s="113" t="s">
        <v>171</v>
      </c>
      <c r="FR8" s="113" t="s">
        <v>143</v>
      </c>
      <c r="FS8" s="113" t="s">
        <v>213</v>
      </c>
      <c r="FT8" s="113" t="s">
        <v>173</v>
      </c>
      <c r="FU8" s="113" t="s">
        <v>126</v>
      </c>
      <c r="FV8" s="126" t="str">
        <f>"שיעור יחסי"
&amp;" (הרצה "&amp;FV43&amp;")"</f>
        <v>שיעור יחסי (הרצה 29)</v>
      </c>
      <c r="FW8" s="113" t="s">
        <v>171</v>
      </c>
      <c r="FX8" s="113" t="s">
        <v>143</v>
      </c>
      <c r="FY8" s="113" t="s">
        <v>213</v>
      </c>
      <c r="FZ8" s="113" t="s">
        <v>173</v>
      </c>
      <c r="GA8" s="113" t="s">
        <v>126</v>
      </c>
      <c r="GB8" s="126" t="str">
        <f>"שיעור יחסי"
&amp;" (הרצה "&amp;GB43&amp;")"</f>
        <v>שיעור יחסי (הרצה 30)</v>
      </c>
      <c r="GC8" s="113" t="s">
        <v>171</v>
      </c>
      <c r="GD8" s="113" t="s">
        <v>143</v>
      </c>
      <c r="GE8" s="113" t="s">
        <v>213</v>
      </c>
      <c r="GF8" s="113" t="s">
        <v>173</v>
      </c>
      <c r="GG8" s="113" t="s">
        <v>126</v>
      </c>
      <c r="GH8" s="126" t="str">
        <f>"שיעור יחסי"
&amp;" (הרצה "&amp;GH43&amp;")"</f>
        <v>שיעור יחסי (הרצה 31)</v>
      </c>
      <c r="GI8" s="113" t="s">
        <v>171</v>
      </c>
      <c r="GJ8" s="113" t="s">
        <v>143</v>
      </c>
      <c r="GK8" s="113" t="s">
        <v>213</v>
      </c>
      <c r="GL8" s="113" t="s">
        <v>173</v>
      </c>
      <c r="GM8" s="113" t="s">
        <v>126</v>
      </c>
      <c r="GN8" s="126" t="str">
        <f>"שיעור יחסי"
&amp;" (הרצה "&amp;GN43&amp;")"</f>
        <v>שיעור יחסי (הרצה 32)</v>
      </c>
      <c r="GO8" s="113" t="s">
        <v>171</v>
      </c>
      <c r="GP8" s="113" t="s">
        <v>143</v>
      </c>
      <c r="GQ8" s="113" t="s">
        <v>213</v>
      </c>
      <c r="GR8" s="113" t="s">
        <v>173</v>
      </c>
      <c r="GS8" s="113" t="s">
        <v>126</v>
      </c>
      <c r="GT8" s="126" t="str">
        <f>"שיעור יחסי"
&amp;" (הרצה "&amp;GT43&amp;")"</f>
        <v>שיעור יחסי (הרצה 33)</v>
      </c>
      <c r="GU8" s="113" t="s">
        <v>171</v>
      </c>
      <c r="GV8" s="113" t="s">
        <v>143</v>
      </c>
      <c r="GW8" s="113" t="s">
        <v>213</v>
      </c>
      <c r="GX8" s="113" t="s">
        <v>173</v>
      </c>
      <c r="GY8" s="113" t="s">
        <v>126</v>
      </c>
      <c r="GZ8" s="126" t="str">
        <f>"שיעור יחסי"
&amp;" (הרצה "&amp;GZ43&amp;")"</f>
        <v>שיעור יחסי (הרצה 34)</v>
      </c>
      <c r="HA8" s="114" t="s">
        <v>174</v>
      </c>
      <c r="HB8" s="112" t="s">
        <v>214</v>
      </c>
      <c r="HC8" s="113" t="s">
        <v>171</v>
      </c>
      <c r="HD8" s="238">
        <f>C4</f>
        <v>0.8</v>
      </c>
      <c r="HE8" s="676" t="s">
        <v>216</v>
      </c>
      <c r="HF8" s="677"/>
      <c r="HG8" s="111" t="s">
        <v>215</v>
      </c>
    </row>
    <row r="9" spans="1:215">
      <c r="A9" s="115">
        <f>ייצוב!A5</f>
        <v>1</v>
      </c>
      <c r="B9" s="116" t="str">
        <f>ייצוב!B5</f>
        <v>הבימה</v>
      </c>
      <c r="C9" s="66"/>
      <c r="D9" s="239">
        <f>ייצוב!E5</f>
        <v>0.17611600609159517</v>
      </c>
      <c r="E9" s="239">
        <f>ייצוב!G5</f>
        <v>0.17652834059125533</v>
      </c>
      <c r="F9" s="240">
        <f t="shared" ref="F9:F41" si="0">IF(OR(E9="",D9="",D9="---"),"",IF($D9=0,"--",E9/$D9))</f>
        <v>1.0023412664686804</v>
      </c>
      <c r="G9" s="84">
        <f t="shared" ref="G9:G41" si="1">IF(OR(F9="",HG9),"",IF(AND($C9=1,F9&lt;(1-$C$3)),1,0))</f>
        <v>0</v>
      </c>
      <c r="H9" s="241">
        <f t="shared" ref="H9:H41" si="2">IF(G9="","",IF(G9=1,$C$4*$D9,$E9))</f>
        <v>0.17652834059125533</v>
      </c>
      <c r="I9" s="241">
        <f t="array" ref="I9">IF(H9="","",IF(G9=1,"מוגן",H9/SUMIF(G$9:G$41,"=0",H$9:H$41)))</f>
        <v>0.17652834059125533</v>
      </c>
      <c r="J9" s="242">
        <f t="shared" ref="J9:J41" si="3">IF(H9="","",IF(G9=1,H9,H9-(H$42-I$42)*I9))</f>
        <v>0.17652834059125533</v>
      </c>
      <c r="K9" s="240">
        <f t="shared" ref="K9:K41" si="4">IF(J9="","",IF($D9=0,"--",J9/$D9))</f>
        <v>1.0023412664686804</v>
      </c>
      <c r="L9" s="84">
        <f t="shared" ref="L9:L41" si="5">IF(K9="","",IF(AND($C9=1,K9&lt;(1-$C$3)),1,0))</f>
        <v>0</v>
      </c>
      <c r="M9" s="84">
        <f>IF(L9="","",IF(OR(L9=1,IF(ISNA(MATCH("מוגן",$I9:L9,0)),FALSE,TRUE)),1,0))</f>
        <v>0</v>
      </c>
      <c r="N9" s="241">
        <f t="shared" ref="N9:N41" si="6">IF(M9="","",IF(M9=1,$C$4*$D9,J9))</f>
        <v>0.17652834059125533</v>
      </c>
      <c r="O9" s="241" t="str">
        <f t="shared" ref="O9:O41" si="7">IF(N9="","",IF(L$42=0,"סיום",IF(M9=1,"מוגן",N9/SUMIF(M$9:M$41,"=0",N$9:N$41))))</f>
        <v>סיום</v>
      </c>
      <c r="P9" s="242">
        <f t="shared" ref="P9:P41" si="8">IF(O9="","",IF(M9=1,N9,IF(O9="סיום",N9,N9-(N$42-O$42)*O9)))</f>
        <v>0.17652834059125533</v>
      </c>
      <c r="Q9" s="240">
        <f t="shared" ref="Q9:Q41" si="9">IF(P9="","",IF($D9=0,"--",P9/$D9))</f>
        <v>1.0023412664686804</v>
      </c>
      <c r="R9" s="84">
        <f t="shared" ref="R9:R41" si="10">IF(Q9="","",IF(AND($C9=1,Q9&lt;(1-$C$3)),1,0))</f>
        <v>0</v>
      </c>
      <c r="S9" s="84">
        <f>IF(R9="","",IF(OR(R9=1,IF(ISNA(MATCH("מוגן",$I9:R9,0)),FALSE,TRUE)),1,0))</f>
        <v>0</v>
      </c>
      <c r="T9" s="241">
        <f t="shared" ref="T9:T41" si="11">IF(S9="","",IF(S9=1,$C$4*$D9,P9))</f>
        <v>0.17652834059125533</v>
      </c>
      <c r="U9" s="241" t="str">
        <f t="shared" ref="U9:U41" si="12">IF(T9="","",IF(R$42=0,"סיום",IF(S9=1,"מוגן",T9/SUMIF(S$9:S$41,"=0",T$9:T$41))))</f>
        <v>סיום</v>
      </c>
      <c r="V9" s="242">
        <f t="shared" ref="V9:V41" si="13">IF(U9="","",IF(S9=1,T9,IF(U9="סיום",T9,T9-(T$42-U$42)*U9)))</f>
        <v>0.17652834059125533</v>
      </c>
      <c r="W9" s="240">
        <f t="shared" ref="W9:W41" si="14">IF(V9="","",IF($D9=0,"--",V9/$D9))</f>
        <v>1.0023412664686804</v>
      </c>
      <c r="X9" s="84">
        <f t="shared" ref="X9:X41" si="15">IF(W9="","",IF(AND($C9=1,W9&lt;(1-$C$3)),1,0))</f>
        <v>0</v>
      </c>
      <c r="Y9" s="84">
        <f>IF(X9="","",IF(OR(X9=1,IF(ISNA(MATCH("מוגן",$I9:X9,0)),FALSE,TRUE)),1,0))</f>
        <v>0</v>
      </c>
      <c r="Z9" s="241">
        <f t="shared" ref="Z9:Z41" si="16">IF(Y9="","",IF(Y9=1,$C$4*$D9,V9))</f>
        <v>0.17652834059125533</v>
      </c>
      <c r="AA9" s="241" t="str">
        <f t="shared" ref="AA9:AA41" si="17">IF(Z9="","",IF(X$42=0,"סיום",IF(Y9=1,"מוגן",Z9/SUMIF(Y$9:Y$41,"=0",Z$9:Z$41))))</f>
        <v>סיום</v>
      </c>
      <c r="AB9" s="242">
        <f t="shared" ref="AB9:AB41" si="18">IF(AA9="","",IF(Y9=1,Z9,IF(AA9="סיום",Z9,Z9-(Z$42-AA$42)*AA9)))</f>
        <v>0.17652834059125533</v>
      </c>
      <c r="AC9" s="240">
        <f t="shared" ref="AC9:AC41" si="19">IF(AB9="","",IF($D9=0,"--",AB9/$D9))</f>
        <v>1.0023412664686804</v>
      </c>
      <c r="AD9" s="84">
        <f t="shared" ref="AD9:AD41" si="20">IF(AC9="","",IF(AND($C9=1,AC9&lt;(1-$C$3)),1,0))</f>
        <v>0</v>
      </c>
      <c r="AE9" s="84">
        <f>IF(AD9="","",IF(OR(AD9=1,IF(ISNA(MATCH("מוגן",$I9:AD9,0)),FALSE,TRUE)),1,0))</f>
        <v>0</v>
      </c>
      <c r="AF9" s="241">
        <f t="shared" ref="AF9:AF41" si="21">IF(AE9="","",IF(AE9=1,$C$4*$D9,AB9))</f>
        <v>0.17652834059125533</v>
      </c>
      <c r="AG9" s="241" t="str">
        <f t="shared" ref="AG9:AG41" si="22">IF(AF9="","",IF(AD$42=0,"סיום",IF(AE9=1,"מוגן",AF9/SUMIF(AE$9:AE$41,"=0",AF$9:AF$41))))</f>
        <v>סיום</v>
      </c>
      <c r="AH9" s="242">
        <f t="shared" ref="AH9:AH41" si="23">IF(AG9="","",IF(AE9=1,AF9,IF(AG9="סיום",AF9,AF9-(AF$42-AG$42)*AG9)))</f>
        <v>0.17652834059125533</v>
      </c>
      <c r="AI9" s="240">
        <f t="shared" ref="AI9:AI41" si="24">IF(AH9="","",IF($D9=0,"--",AH9/$D9))</f>
        <v>1.0023412664686804</v>
      </c>
      <c r="AJ9" s="84">
        <f t="shared" ref="AJ9:AJ41" si="25">IF(AI9="","",IF(AND($C9=1,AI9&lt;(1-$C$3)),1,0))</f>
        <v>0</v>
      </c>
      <c r="AK9" s="84">
        <f>IF(AJ9="","",IF(OR(AJ9=1,IF(ISNA(MATCH("מוגן",$I9:AJ9,0)),FALSE,TRUE)),1,0))</f>
        <v>0</v>
      </c>
      <c r="AL9" s="241">
        <f t="shared" ref="AL9:AL41" si="26">IF(AK9="","",IF(AK9=1,$C$4*$D9,AH9))</f>
        <v>0.17652834059125533</v>
      </c>
      <c r="AM9" s="241" t="str">
        <f t="shared" ref="AM9:AM41" si="27">IF(AL9="","",IF(AJ$42=0,"סיום",IF(AK9=1,"מוגן",AL9/SUMIF(AK$9:AK$41,"=0",AL$9:AL$41))))</f>
        <v>סיום</v>
      </c>
      <c r="AN9" s="242">
        <f t="shared" ref="AN9:AN41" si="28">IF(AM9="","",IF(AK9=1,AL9,IF(AM9="סיום",AL9,AL9-(AL$42-AM$42)*AM9)))</f>
        <v>0.17652834059125533</v>
      </c>
      <c r="AO9" s="240">
        <f t="shared" ref="AO9:AO41" si="29">IF(AN9="","",IF($D9=0,"--",AN9/$D9))</f>
        <v>1.0023412664686804</v>
      </c>
      <c r="AP9" s="84">
        <f t="shared" ref="AP9:AP41" si="30">IF(AO9="","",IF(AND($C9=1,AO9&lt;(1-$C$3)),1,0))</f>
        <v>0</v>
      </c>
      <c r="AQ9" s="84">
        <f>IF(AP9="","",IF(OR(AP9=1,IF(ISNA(MATCH("מוגן",$I9:AP9,0)),FALSE,TRUE)),1,0))</f>
        <v>0</v>
      </c>
      <c r="AR9" s="241">
        <f t="shared" ref="AR9:AR41" si="31">IF(AQ9="","",IF(AQ9=1,$C$4*$D9,AN9))</f>
        <v>0.17652834059125533</v>
      </c>
      <c r="AS9" s="241" t="str">
        <f t="shared" ref="AS9:AS41" si="32">IF(AR9="","",IF(AP$42=0,"סיום",IF(AQ9=1,"מוגן",AR9/SUMIF(AQ$9:AQ$41,"=0",AR$9:AR$41))))</f>
        <v>סיום</v>
      </c>
      <c r="AT9" s="242">
        <f t="shared" ref="AT9:AT41" si="33">IF(AS9="","",IF(AQ9=1,AR9,IF(AS9="סיום",AR9,AR9-(AR$42-AS$42)*AS9)))</f>
        <v>0.17652834059125533</v>
      </c>
      <c r="AU9" s="240">
        <f t="shared" ref="AU9:AU41" si="34">IF(AT9="","",IF($D9=0,"--",AT9/$D9))</f>
        <v>1.0023412664686804</v>
      </c>
      <c r="AV9" s="84">
        <f t="shared" ref="AV9:AV41" si="35">IF(AU9="","",IF(AND($C9=1,AU9&lt;(1-$C$3)),1,0))</f>
        <v>0</v>
      </c>
      <c r="AW9" s="84">
        <f>IF(AV9="","",IF(OR(AV9=1,IF(ISNA(MATCH("מוגן",$I9:AV9,0)),FALSE,TRUE)),1,0))</f>
        <v>0</v>
      </c>
      <c r="AX9" s="241">
        <f t="shared" ref="AX9:AX41" si="36">IF(AW9="","",IF(AW9=1,$C$4*$D9,AT9))</f>
        <v>0.17652834059125533</v>
      </c>
      <c r="AY9" s="241" t="str">
        <f t="shared" ref="AY9:AY41" si="37">IF(AX9="","",IF(AV$42=0,"סיום",IF(AW9=1,"מוגן",AX9/SUMIF(AW$9:AW$41,"=0",AX$9:AX$41))))</f>
        <v>סיום</v>
      </c>
      <c r="AZ9" s="242">
        <f t="shared" ref="AZ9:AZ41" si="38">IF(AY9="","",IF(AW9=1,AX9,IF(AY9="סיום",AX9,AX9-(AX$42-AY$42)*AY9)))</f>
        <v>0.17652834059125533</v>
      </c>
      <c r="BA9" s="240">
        <f t="shared" ref="BA9:BA41" si="39">IF(AZ9="","",IF($D9=0,"--",AZ9/$D9))</f>
        <v>1.0023412664686804</v>
      </c>
      <c r="BB9" s="84">
        <f t="shared" ref="BB9:BB41" si="40">IF(BA9="","",IF(AND($C9=1,BA9&lt;(1-$C$3)),1,0))</f>
        <v>0</v>
      </c>
      <c r="BC9" s="84">
        <f>IF(BB9="","",IF(OR(BB9=1,IF(ISNA(MATCH("מוגן",$I9:BB9,0)),FALSE,TRUE)),1,0))</f>
        <v>0</v>
      </c>
      <c r="BD9" s="241">
        <f t="shared" ref="BD9:BD41" si="41">IF(BC9="","",IF(BC9=1,$C$4*$D9,AZ9))</f>
        <v>0.17652834059125533</v>
      </c>
      <c r="BE9" s="241" t="str">
        <f t="shared" ref="BE9:BE41" si="42">IF(BD9="","",IF(BB$42=0,"סיום",IF(BC9=1,"מוגן",BD9/SUMIF(BC$9:BC$41,"=0",BD$9:BD$41))))</f>
        <v>סיום</v>
      </c>
      <c r="BF9" s="242">
        <f t="shared" ref="BF9:BF41" si="43">IF(BE9="","",IF(BC9=1,BD9,IF(BE9="סיום",BD9,BD9-(BD$42-BE$42)*BE9)))</f>
        <v>0.17652834059125533</v>
      </c>
      <c r="BG9" s="240">
        <f t="shared" ref="BG9:BG41" si="44">IF(BF9="","",IF($D9=0,"--",BF9/$D9))</f>
        <v>1.0023412664686804</v>
      </c>
      <c r="BH9" s="84">
        <f t="shared" ref="BH9:BH41" si="45">IF(BG9="","",IF(AND($C9=1,BG9&lt;(1-$C$3)),1,0))</f>
        <v>0</v>
      </c>
      <c r="BI9" s="84">
        <f>IF(BH9="","",IF(OR(BH9=1,IF(ISNA(MATCH("מוגן",$I9:BH9,0)),FALSE,TRUE)),1,0))</f>
        <v>0</v>
      </c>
      <c r="BJ9" s="241">
        <f t="shared" ref="BJ9:BJ41" si="46">IF(BI9="","",IF(BI9=1,$C$4*$D9,BF9))</f>
        <v>0.17652834059125533</v>
      </c>
      <c r="BK9" s="241" t="str">
        <f t="shared" ref="BK9:BK41" si="47">IF(BJ9="","",IF(BH$42=0,"סיום",IF(BI9=1,"מוגן",BJ9/SUMIF(BI$9:BI$41,"=0",BJ$9:BJ$41))))</f>
        <v>סיום</v>
      </c>
      <c r="BL9" s="242">
        <f t="shared" ref="BL9:BL41" si="48">IF(BK9="","",IF(BI9=1,BJ9,IF(BK9="סיום",BJ9,BJ9-(BJ$42-BK$42)*BK9)))</f>
        <v>0.17652834059125533</v>
      </c>
      <c r="BM9" s="240">
        <f t="shared" ref="BM9:BM41" si="49">IF(BL9="","",IF($D9=0,"--",BL9/$D9))</f>
        <v>1.0023412664686804</v>
      </c>
      <c r="BN9" s="84">
        <f t="shared" ref="BN9:BN41" si="50">IF(BM9="","",IF(AND($C9=1,BM9&lt;(1-$C$3)),1,0))</f>
        <v>0</v>
      </c>
      <c r="BO9" s="84">
        <f>IF(BN9="","",IF(OR(BN9=1,IF(ISNA(MATCH("מוגן",$I9:BN9,0)),FALSE,TRUE)),1,0))</f>
        <v>0</v>
      </c>
      <c r="BP9" s="241">
        <f t="shared" ref="BP9:BP41" si="51">IF(BO9="","",IF(BO9=1,$C$4*$D9,BL9))</f>
        <v>0.17652834059125533</v>
      </c>
      <c r="BQ9" s="241" t="str">
        <f t="shared" ref="BQ9:BQ41" si="52">IF(BP9="","",IF(BN$42=0,"סיום",IF(BO9=1,"מוגן",BP9/SUMIF(BO$9:BO$41,"=0",BP$9:BP$41))))</f>
        <v>סיום</v>
      </c>
      <c r="BR9" s="242">
        <f t="shared" ref="BR9:BR41" si="53">IF(BQ9="","",IF(BO9=1,BP9,IF(BQ9="סיום",BP9,BP9-(BP$42-BQ$42)*BQ9)))</f>
        <v>0.17652834059125533</v>
      </c>
      <c r="BS9" s="240">
        <f t="shared" ref="BS9:BS41" si="54">IF(BR9="","",IF($D9=0,"--",BR9/$D9))</f>
        <v>1.0023412664686804</v>
      </c>
      <c r="BT9" s="84">
        <f t="shared" ref="BT9:BT41" si="55">IF(BS9="","",IF(AND($C9=1,BS9&lt;(1-$C$3)),1,0))</f>
        <v>0</v>
      </c>
      <c r="BU9" s="84">
        <f>IF(BT9="","",IF(OR(BT9=1,IF(ISNA(MATCH("מוגן",$I9:BT9,0)),FALSE,TRUE)),1,0))</f>
        <v>0</v>
      </c>
      <c r="BV9" s="241">
        <f t="shared" ref="BV9:BV41" si="56">IF(BU9="","",IF(BU9=1,$C$4*$D9,BR9))</f>
        <v>0.17652834059125533</v>
      </c>
      <c r="BW9" s="241" t="str">
        <f t="shared" ref="BW9:BW41" si="57">IF(BV9="","",IF(BT$42=0,"סיום",IF(BU9=1,"מוגן",BV9/SUMIF(BU$9:BU$41,"=0",BV$9:BV$41))))</f>
        <v>סיום</v>
      </c>
      <c r="BX9" s="242">
        <f t="shared" ref="BX9:BX41" si="58">IF(BW9="","",IF(BU9=1,BV9,IF(BW9="סיום",BV9,BV9-(BV$42-BW$42)*BW9)))</f>
        <v>0.17652834059125533</v>
      </c>
      <c r="BY9" s="240">
        <f t="shared" ref="BY9:BY41" si="59">IF(BX9="","",IF($D9=0,"--",BX9/$D9))</f>
        <v>1.0023412664686804</v>
      </c>
      <c r="BZ9" s="84">
        <f t="shared" ref="BZ9:BZ41" si="60">IF(BY9="","",IF(AND($C9=1,BY9&lt;(1-$C$3)),1,0))</f>
        <v>0</v>
      </c>
      <c r="CA9" s="84">
        <f>IF(BZ9="","",IF(OR(BZ9=1,IF(ISNA(MATCH("מוגן",$I9:BZ9,0)),FALSE,TRUE)),1,0))</f>
        <v>0</v>
      </c>
      <c r="CB9" s="241">
        <f t="shared" ref="CB9:CB41" si="61">IF(CA9="","",IF(CA9=1,$C$4*$D9,BX9))</f>
        <v>0.17652834059125533</v>
      </c>
      <c r="CC9" s="241" t="str">
        <f t="shared" ref="CC9:CC41" si="62">IF(CB9="","",IF(BZ$42=0,"סיום",IF(CA9=1,"מוגן",CB9/SUMIF(CA$9:CA$41,"=0",CB$9:CB$41))))</f>
        <v>סיום</v>
      </c>
      <c r="CD9" s="242">
        <f t="shared" ref="CD9:CD41" si="63">IF(CC9="","",IF(CA9=1,CB9,IF(CC9="סיום",CB9,CB9-(CB$42-CC$42)*CC9)))</f>
        <v>0.17652834059125533</v>
      </c>
      <c r="CE9" s="240">
        <f t="shared" ref="CE9:CE41" si="64">IF(CD9="","",IF($D9=0,"--",CD9/$D9))</f>
        <v>1.0023412664686804</v>
      </c>
      <c r="CF9" s="84">
        <f t="shared" ref="CF9:CF41" si="65">IF(CE9="","",IF(AND($C9=1,CE9&lt;(1-$C$3)),1,0))</f>
        <v>0</v>
      </c>
      <c r="CG9" s="84">
        <f>IF(CF9="","",IF(OR(CF9=1,IF(ISNA(MATCH("מוגן",$I9:CF9,0)),FALSE,TRUE)),1,0))</f>
        <v>0</v>
      </c>
      <c r="CH9" s="241">
        <f t="shared" ref="CH9:CH41" si="66">IF(CG9="","",IF(CG9=1,$C$4*$D9,CD9))</f>
        <v>0.17652834059125533</v>
      </c>
      <c r="CI9" s="241" t="str">
        <f t="shared" ref="CI9:CI41" si="67">IF(CH9="","",IF(CF$42=0,"סיום",IF(CG9=1,"מוגן",CH9/SUMIF(CG$9:CG$41,"=0",CH$9:CH$41))))</f>
        <v>סיום</v>
      </c>
      <c r="CJ9" s="242">
        <f t="shared" ref="CJ9:CJ41" si="68">IF(CI9="","",IF(CG9=1,CH9,IF(CI9="סיום",CH9,CH9-(CH$42-CI$42)*CI9)))</f>
        <v>0.17652834059125533</v>
      </c>
      <c r="CK9" s="240">
        <f t="shared" ref="CK9:CK41" si="69">IF(CJ9="","",IF($D9=0,"--",CJ9/$D9))</f>
        <v>1.0023412664686804</v>
      </c>
      <c r="CL9" s="84">
        <f t="shared" ref="CL9:CL41" si="70">IF(CK9="","",IF(AND($C9=1,CK9&lt;(1-$C$3)),1,0))</f>
        <v>0</v>
      </c>
      <c r="CM9" s="84">
        <f>IF(CL9="","",IF(OR(CL9=1,IF(ISNA(MATCH("מוגן",$I9:CL9,0)),FALSE,TRUE)),1,0))</f>
        <v>0</v>
      </c>
      <c r="CN9" s="241">
        <f t="shared" ref="CN9:CN41" si="71">IF(CM9="","",IF(CM9=1,$C$4*$D9,CJ9))</f>
        <v>0.17652834059125533</v>
      </c>
      <c r="CO9" s="241" t="str">
        <f t="shared" ref="CO9:CO41" si="72">IF(CN9="","",IF(CL$42=0,"סיום",IF(CM9=1,"מוגן",CN9/SUMIF(CM$9:CM$41,"=0",CN$9:CN$41))))</f>
        <v>סיום</v>
      </c>
      <c r="CP9" s="242">
        <f t="shared" ref="CP9:CP41" si="73">IF(CO9="","",IF(CM9=1,CN9,IF(CO9="סיום",CN9,CN9-(CN$42-CO$42)*CO9)))</f>
        <v>0.17652834059125533</v>
      </c>
      <c r="CQ9" s="240">
        <f t="shared" ref="CQ9:CQ41" si="74">IF(CP9="","",IF($D9=0,"--",CP9/$D9))</f>
        <v>1.0023412664686804</v>
      </c>
      <c r="CR9" s="84">
        <f t="shared" ref="CR9:CR41" si="75">IF(CQ9="","",IF(AND($C9=1,CQ9&lt;(1-$C$3)),1,0))</f>
        <v>0</v>
      </c>
      <c r="CS9" s="84">
        <f>IF(CR9="","",IF(OR(CR9=1,IF(ISNA(MATCH("מוגן",$I9:CR9,0)),FALSE,TRUE)),1,0))</f>
        <v>0</v>
      </c>
      <c r="CT9" s="241">
        <f t="shared" ref="CT9:CT41" si="76">IF(CS9="","",IF(CS9=1,$C$4*$D9,CP9))</f>
        <v>0.17652834059125533</v>
      </c>
      <c r="CU9" s="241" t="str">
        <f t="shared" ref="CU9:CU41" si="77">IF(CT9="","",IF(CR$42=0,"סיום",IF(CS9=1,"מוגן",CT9/SUMIF(CS$9:CS$41,"=0",CT$9:CT$41))))</f>
        <v>סיום</v>
      </c>
      <c r="CV9" s="242">
        <f t="shared" ref="CV9:CV41" si="78">IF(CU9="","",IF(CS9=1,CT9,IF(CU9="סיום",CT9,CT9-(CT$42-CU$42)*CU9)))</f>
        <v>0.17652834059125533</v>
      </c>
      <c r="CW9" s="240">
        <f t="shared" ref="CW9:CW41" si="79">IF(CV9="","",IF($D9=0,"--",CV9/$D9))</f>
        <v>1.0023412664686804</v>
      </c>
      <c r="CX9" s="84">
        <f t="shared" ref="CX9:CX41" si="80">IF(CW9="","",IF(AND($C9=1,CW9&lt;(1-$C$3)),1,0))</f>
        <v>0</v>
      </c>
      <c r="CY9" s="84">
        <f>IF(CX9="","",IF(OR(CX9=1,IF(ISNA(MATCH("מוגן",$I9:CX9,0)),FALSE,TRUE)),1,0))</f>
        <v>0</v>
      </c>
      <c r="CZ9" s="241">
        <f t="shared" ref="CZ9:CZ41" si="81">IF(CY9="","",IF(CY9=1,$C$4*$D9,CV9))</f>
        <v>0.17652834059125533</v>
      </c>
      <c r="DA9" s="241" t="str">
        <f t="shared" ref="DA9:DA41" si="82">IF(CZ9="","",IF(CX$42=0,"סיום",IF(CY9=1,"מוגן",CZ9/SUMIF(CY$9:CY$41,"=0",CZ$9:CZ$41))))</f>
        <v>סיום</v>
      </c>
      <c r="DB9" s="242">
        <f t="shared" ref="DB9:DB41" si="83">IF(DA9="","",IF(CY9=1,CZ9,IF(DA9="סיום",CZ9,CZ9-(CZ$42-DA$42)*DA9)))</f>
        <v>0.17652834059125533</v>
      </c>
      <c r="DC9" s="240">
        <f t="shared" ref="DC9:DC41" si="84">IF(DB9="","",IF($D9=0,"--",DB9/$D9))</f>
        <v>1.0023412664686804</v>
      </c>
      <c r="DD9" s="84">
        <f t="shared" ref="DD9:DD41" si="85">IF(DC9="","",IF(AND($C9=1,DC9&lt;(1-$C$3)),1,0))</f>
        <v>0</v>
      </c>
      <c r="DE9" s="84">
        <f>IF(DD9="","",IF(OR(DD9=1,IF(ISNA(MATCH("מוגן",$I9:DD9,0)),FALSE,TRUE)),1,0))</f>
        <v>0</v>
      </c>
      <c r="DF9" s="241">
        <f t="shared" ref="DF9:DF41" si="86">IF(DE9="","",IF(DE9=1,$C$4*$D9,DB9))</f>
        <v>0.17652834059125533</v>
      </c>
      <c r="DG9" s="241" t="str">
        <f t="shared" ref="DG9:DG41" si="87">IF(DF9="","",IF(DD$42=0,"סיום",IF(DE9=1,"מוגן",DF9/SUMIF(DE$9:DE$41,"=0",DF$9:DF$41))))</f>
        <v>סיום</v>
      </c>
      <c r="DH9" s="242">
        <f t="shared" ref="DH9:DH41" si="88">IF(DG9="","",IF(DE9=1,DF9,IF(DG9="סיום",DF9,DF9-(DF$42-DG$42)*DG9)))</f>
        <v>0.17652834059125533</v>
      </c>
      <c r="DI9" s="240">
        <f t="shared" ref="DI9:DI41" si="89">IF(DH9="","",IF($D9=0,"--",DH9/$D9))</f>
        <v>1.0023412664686804</v>
      </c>
      <c r="DJ9" s="84">
        <f t="shared" ref="DJ9:DJ41" si="90">IF(DI9="","",IF(AND($C9=1,DI9&lt;(1-$C$3)),1,0))</f>
        <v>0</v>
      </c>
      <c r="DK9" s="84">
        <f>IF(DJ9="","",IF(OR(DJ9=1,IF(ISNA(MATCH("מוגן",$I9:DJ9,0)),FALSE,TRUE)),1,0))</f>
        <v>0</v>
      </c>
      <c r="DL9" s="241">
        <f t="shared" ref="DL9:DL41" si="91">IF(DK9="","",IF(DK9=1,$C$4*$D9,DH9))</f>
        <v>0.17652834059125533</v>
      </c>
      <c r="DM9" s="241" t="str">
        <f t="shared" ref="DM9:DM41" si="92">IF(DL9="","",IF(DJ$42=0,"סיום",IF(DK9=1,"מוגן",DL9/SUMIF(DK$9:DK$41,"=0",DL$9:DL$41))))</f>
        <v>סיום</v>
      </c>
      <c r="DN9" s="242">
        <f t="shared" ref="DN9:DN41" si="93">IF(DM9="","",IF(DK9=1,DL9,IF(DM9="סיום",DL9,DL9-(DL$42-DM$42)*DM9)))</f>
        <v>0.17652834059125533</v>
      </c>
      <c r="DO9" s="240">
        <f t="shared" ref="DO9:DO41" si="94">IF(DN9="","",IF($D9=0,"--",DN9/$D9))</f>
        <v>1.0023412664686804</v>
      </c>
      <c r="DP9" s="84">
        <f t="shared" ref="DP9:DP41" si="95">IF(DO9="","",IF(AND($C9=1,DO9&lt;(1-$C$3)),1,0))</f>
        <v>0</v>
      </c>
      <c r="DQ9" s="84">
        <f>IF(DP9="","",IF(OR(DP9=1,IF(ISNA(MATCH("מוגן",$I9:DP9,0)),FALSE,TRUE)),1,0))</f>
        <v>0</v>
      </c>
      <c r="DR9" s="241">
        <f t="shared" ref="DR9:DR41" si="96">IF(DQ9="","",IF(DQ9=1,$C$4*$D9,DN9))</f>
        <v>0.17652834059125533</v>
      </c>
      <c r="DS9" s="241" t="str">
        <f t="shared" ref="DS9:DS41" si="97">IF(DR9="","",IF(DP$42=0,"סיום",IF(DQ9=1,"מוגן",DR9/SUMIF(DQ$9:DQ$41,"=0",DR$9:DR$41))))</f>
        <v>סיום</v>
      </c>
      <c r="DT9" s="242">
        <f t="shared" ref="DT9:DT41" si="98">IF(DS9="","",IF(DQ9=1,DR9,IF(DS9="סיום",DR9,DR9-(DR$42-DS$42)*DS9)))</f>
        <v>0.17652834059125533</v>
      </c>
      <c r="DU9" s="240">
        <f t="shared" ref="DU9:DU41" si="99">IF(DT9="","",IF($D9=0,"--",DT9/$D9))</f>
        <v>1.0023412664686804</v>
      </c>
      <c r="DV9" s="84">
        <f t="shared" ref="DV9:DV41" si="100">IF(DU9="","",IF(AND($C9=1,DU9&lt;(1-$C$3)),1,0))</f>
        <v>0</v>
      </c>
      <c r="DW9" s="84">
        <f>IF(DV9="","",IF(OR(DV9=1,IF(ISNA(MATCH("מוגן",$I9:DV9,0)),FALSE,TRUE)),1,0))</f>
        <v>0</v>
      </c>
      <c r="DX9" s="241">
        <f t="shared" ref="DX9:DX41" si="101">IF(DW9="","",IF(DW9=1,$C$4*$D9,DT9))</f>
        <v>0.17652834059125533</v>
      </c>
      <c r="DY9" s="241" t="str">
        <f t="shared" ref="DY9:DY41" si="102">IF(DX9="","",IF(DV$42=0,"סיום",IF(DW9=1,"מוגן",DX9/SUMIF(DW$9:DW$41,"=0",DX$9:DX$41))))</f>
        <v>סיום</v>
      </c>
      <c r="DZ9" s="242">
        <f t="shared" ref="DZ9:DZ41" si="103">IF(DY9="","",IF(DW9=1,DX9,IF(DY9="סיום",DX9,DX9-(DX$42-DY$42)*DY9)))</f>
        <v>0.17652834059125533</v>
      </c>
      <c r="EA9" s="240">
        <f t="shared" ref="EA9:EA41" si="104">IF(DZ9="","",IF($D9=0,"--",DZ9/$D9))</f>
        <v>1.0023412664686804</v>
      </c>
      <c r="EB9" s="84">
        <f t="shared" ref="EB9:EB41" si="105">IF(EA9="","",IF(AND($C9=1,EA9&lt;(1-$C$3)),1,0))</f>
        <v>0</v>
      </c>
      <c r="EC9" s="84">
        <f>IF(EB9="","",IF(OR(EB9=1,IF(ISNA(MATCH("מוגן",$I9:EB9,0)),FALSE,TRUE)),1,0))</f>
        <v>0</v>
      </c>
      <c r="ED9" s="241">
        <f t="shared" ref="ED9:ED41" si="106">IF(EC9="","",IF(EC9=1,$C$4*$D9,DZ9))</f>
        <v>0.17652834059125533</v>
      </c>
      <c r="EE9" s="241" t="str">
        <f t="shared" ref="EE9:EE41" si="107">IF(ED9="","",IF(EB$42=0,"סיום",IF(EC9=1,"מוגן",ED9/SUMIF(EC$9:EC$41,"=0",ED$9:ED$41))))</f>
        <v>סיום</v>
      </c>
      <c r="EF9" s="242">
        <f t="shared" ref="EF9:EF41" si="108">IF(EE9="","",IF(EC9=1,ED9,IF(EE9="סיום",ED9,ED9-(ED$42-EE$42)*EE9)))</f>
        <v>0.17652834059125533</v>
      </c>
      <c r="EG9" s="240">
        <f t="shared" ref="EG9:EG41" si="109">IF(EF9="","",IF($D9=0,"--",EF9/$D9))</f>
        <v>1.0023412664686804</v>
      </c>
      <c r="EH9" s="84">
        <f t="shared" ref="EH9:EH41" si="110">IF(EG9="","",IF(AND($C9=1,EG9&lt;(1-$C$3)),1,0))</f>
        <v>0</v>
      </c>
      <c r="EI9" s="84">
        <f>IF(EH9="","",IF(OR(EH9=1,IF(ISNA(MATCH("מוגן",$I9:EH9,0)),FALSE,TRUE)),1,0))</f>
        <v>0</v>
      </c>
      <c r="EJ9" s="241">
        <f t="shared" ref="EJ9:EJ41" si="111">IF(EI9="","",IF(EI9=1,$C$4*$D9,EF9))</f>
        <v>0.17652834059125533</v>
      </c>
      <c r="EK9" s="241" t="str">
        <f t="shared" ref="EK9:EK41" si="112">IF(EJ9="","",IF(EH$42=0,"סיום",IF(EI9=1,"מוגן",EJ9/SUMIF(EI$9:EI$41,"=0",EJ$9:EJ$41))))</f>
        <v>סיום</v>
      </c>
      <c r="EL9" s="242">
        <f t="shared" ref="EL9:EL41" si="113">IF(EK9="","",IF(EI9=1,EJ9,IF(EK9="סיום",EJ9,EJ9-(EJ$42-EK$42)*EK9)))</f>
        <v>0.17652834059125533</v>
      </c>
      <c r="EM9" s="240">
        <f t="shared" ref="EM9:EM41" si="114">IF(EL9="","",IF($D9=0,"--",EL9/$D9))</f>
        <v>1.0023412664686804</v>
      </c>
      <c r="EN9" s="84">
        <f t="shared" ref="EN9:EN41" si="115">IF(EM9="","",IF(AND($C9=1,EM9&lt;(1-$C$3)),1,0))</f>
        <v>0</v>
      </c>
      <c r="EO9" s="84">
        <f>IF(EN9="","",IF(OR(EN9=1,IF(ISNA(MATCH("מוגן",$I9:EN9,0)),FALSE,TRUE)),1,0))</f>
        <v>0</v>
      </c>
      <c r="EP9" s="241">
        <f t="shared" ref="EP9:EP41" si="116">IF(EO9="","",IF(EO9=1,$C$4*$D9,EL9))</f>
        <v>0.17652834059125533</v>
      </c>
      <c r="EQ9" s="241" t="str">
        <f t="shared" ref="EQ9:EQ41" si="117">IF(EP9="","",IF(EN$42=0,"סיום",IF(EO9=1,"מוגן",EP9/SUMIF(EO$9:EO$41,"=0",EP$9:EP$41))))</f>
        <v>סיום</v>
      </c>
      <c r="ER9" s="242">
        <f t="shared" ref="ER9:ER41" si="118">IF(EQ9="","",IF(EO9=1,EP9,IF(EQ9="סיום",EP9,EP9-(EP$42-EQ$42)*EQ9)))</f>
        <v>0.17652834059125533</v>
      </c>
      <c r="ES9" s="240">
        <f t="shared" ref="ES9:ES41" si="119">IF(ER9="","",IF($D9=0,"--",ER9/$D9))</f>
        <v>1.0023412664686804</v>
      </c>
      <c r="ET9" s="84">
        <f t="shared" ref="ET9:ET41" si="120">IF(ES9="","",IF(AND($C9=1,ES9&lt;(1-$C$3)),1,0))</f>
        <v>0</v>
      </c>
      <c r="EU9" s="84">
        <f>IF(ET9="","",IF(OR(ET9=1,IF(ISNA(MATCH("מוגן",$I9:ET9,0)),FALSE,TRUE)),1,0))</f>
        <v>0</v>
      </c>
      <c r="EV9" s="241">
        <f t="shared" ref="EV9:EV41" si="121">IF(EU9="","",IF(EU9=1,$C$4*$D9,ER9))</f>
        <v>0.17652834059125533</v>
      </c>
      <c r="EW9" s="241" t="str">
        <f t="shared" ref="EW9:EW41" si="122">IF(EV9="","",IF(ET$42=0,"סיום",IF(EU9=1,"מוגן",EV9/SUMIF(EU$9:EU$41,"=0",EV$9:EV$41))))</f>
        <v>סיום</v>
      </c>
      <c r="EX9" s="242">
        <f t="shared" ref="EX9:EX41" si="123">IF(EW9="","",IF(EU9=1,EV9,IF(EW9="סיום",EV9,EV9-(EV$42-EW$42)*EW9)))</f>
        <v>0.17652834059125533</v>
      </c>
      <c r="EY9" s="240">
        <f t="shared" ref="EY9:EY41" si="124">IF(EX9="","",IF($D9=0,"--",EX9/$D9))</f>
        <v>1.0023412664686804</v>
      </c>
      <c r="EZ9" s="84">
        <f t="shared" ref="EZ9:EZ41" si="125">IF(EY9="","",IF(AND($C9=1,EY9&lt;(1-$C$3)),1,0))</f>
        <v>0</v>
      </c>
      <c r="FA9" s="84">
        <f>IF(EZ9="","",IF(OR(EZ9=1,IF(ISNA(MATCH("מוגן",$I9:EZ9,0)),FALSE,TRUE)),1,0))</f>
        <v>0</v>
      </c>
      <c r="FB9" s="241">
        <f t="shared" ref="FB9:FB41" si="126">IF(FA9="","",IF(FA9=1,$C$4*$D9,EX9))</f>
        <v>0.17652834059125533</v>
      </c>
      <c r="FC9" s="241" t="str">
        <f t="shared" ref="FC9:FC41" si="127">IF(FB9="","",IF(EZ$42=0,"סיום",IF(FA9=1,"מוגן",FB9/SUMIF(FA$9:FA$41,"=0",FB$9:FB$41))))</f>
        <v>סיום</v>
      </c>
      <c r="FD9" s="242">
        <f t="shared" ref="FD9:FD41" si="128">IF(FC9="","",IF(FA9=1,FB9,IF(FC9="סיום",FB9,FB9-(FB$42-FC$42)*FC9)))</f>
        <v>0.17652834059125533</v>
      </c>
      <c r="FE9" s="240">
        <f t="shared" ref="FE9:FE41" si="129">IF(FD9="","",IF($D9=0,"--",FD9/$D9))</f>
        <v>1.0023412664686804</v>
      </c>
      <c r="FF9" s="84">
        <f t="shared" ref="FF9:FF41" si="130">IF(FE9="","",IF(AND($C9=1,FE9&lt;(1-$C$3)),1,0))</f>
        <v>0</v>
      </c>
      <c r="FG9" s="84">
        <f>IF(FF9="","",IF(OR(FF9=1,IF(ISNA(MATCH("מוגן",$I9:FF9,0)),FALSE,TRUE)),1,0))</f>
        <v>0</v>
      </c>
      <c r="FH9" s="241">
        <f t="shared" ref="FH9:FH41" si="131">IF(FG9="","",IF(FG9=1,$C$4*$D9,FD9))</f>
        <v>0.17652834059125533</v>
      </c>
      <c r="FI9" s="241" t="str">
        <f t="shared" ref="FI9:FI41" si="132">IF(FH9="","",IF(FF$42=0,"סיום",IF(FG9=1,"מוגן",FH9/SUMIF(FG$9:FG$41,"=0",FH$9:FH$41))))</f>
        <v>סיום</v>
      </c>
      <c r="FJ9" s="242">
        <f t="shared" ref="FJ9:FJ41" si="133">IF(FI9="","",IF(FG9=1,FH9,IF(FI9="סיום",FH9,FH9-(FH$42-FI$42)*FI9)))</f>
        <v>0.17652834059125533</v>
      </c>
      <c r="FK9" s="240">
        <f t="shared" ref="FK9:FK41" si="134">IF(FJ9="","",IF($D9=0,"--",FJ9/$D9))</f>
        <v>1.0023412664686804</v>
      </c>
      <c r="FL9" s="84">
        <f t="shared" ref="FL9:FL41" si="135">IF(FK9="","",IF(AND($C9=1,FK9&lt;(1-$C$3)),1,0))</f>
        <v>0</v>
      </c>
      <c r="FM9" s="84">
        <f>IF(FL9="","",IF(OR(FL9=1,IF(ISNA(MATCH("מוגן",$I9:FL9,0)),FALSE,TRUE)),1,0))</f>
        <v>0</v>
      </c>
      <c r="FN9" s="241">
        <f t="shared" ref="FN9:FN41" si="136">IF(FM9="","",IF(FM9=1,$C$4*$D9,FJ9))</f>
        <v>0.17652834059125533</v>
      </c>
      <c r="FO9" s="241" t="str">
        <f t="shared" ref="FO9:FO41" si="137">IF(FN9="","",IF(FL$42=0,"סיום",IF(FM9=1,"מוגן",FN9/SUMIF(FM$9:FM$41,"=0",FN$9:FN$41))))</f>
        <v>סיום</v>
      </c>
      <c r="FP9" s="242">
        <f t="shared" ref="FP9:FP41" si="138">IF(FO9="","",IF(FM9=1,FN9,IF(FO9="סיום",FN9,FN9-(FN$42-FO$42)*FO9)))</f>
        <v>0.17652834059125533</v>
      </c>
      <c r="FQ9" s="240">
        <f t="shared" ref="FQ9:FQ41" si="139">IF(FP9="","",IF($D9=0,"--",FP9/$D9))</f>
        <v>1.0023412664686804</v>
      </c>
      <c r="FR9" s="84">
        <f t="shared" ref="FR9:FR41" si="140">IF(FQ9="","",IF(AND($C9=1,FQ9&lt;(1-$C$3)),1,0))</f>
        <v>0</v>
      </c>
      <c r="FS9" s="84">
        <f>IF(FR9="","",IF(OR(FR9=1,IF(ISNA(MATCH("מוגן",$I9:FR9,0)),FALSE,TRUE)),1,0))</f>
        <v>0</v>
      </c>
      <c r="FT9" s="241">
        <f t="shared" ref="FT9:FT41" si="141">IF(FS9="","",IF(FS9=1,$C$4*$D9,FP9))</f>
        <v>0.17652834059125533</v>
      </c>
      <c r="FU9" s="241" t="str">
        <f t="shared" ref="FU9:FU41" si="142">IF(FT9="","",IF(FR$42=0,"סיום",IF(FS9=1,"מוגן",FT9/SUMIF(FS$9:FS$41,"=0",FT$9:FT$41))))</f>
        <v>סיום</v>
      </c>
      <c r="FV9" s="242">
        <f t="shared" ref="FV9:FV41" si="143">IF(FU9="","",IF(FS9=1,FT9,IF(FU9="סיום",FT9,FT9-(FT$42-FU$42)*FU9)))</f>
        <v>0.17652834059125533</v>
      </c>
      <c r="FW9" s="240">
        <f t="shared" ref="FW9:FW41" si="144">IF(FV9="","",IF($D9=0,"--",FV9/$D9))</f>
        <v>1.0023412664686804</v>
      </c>
      <c r="FX9" s="84">
        <f t="shared" ref="FX9:FX41" si="145">IF(FW9="","",IF(AND($C9=1,FW9&lt;(1-$C$3)),1,0))</f>
        <v>0</v>
      </c>
      <c r="FY9" s="84">
        <f>IF(FX9="","",IF(OR(FX9=1,IF(ISNA(MATCH("מוגן",$I9:FX9,0)),FALSE,TRUE)),1,0))</f>
        <v>0</v>
      </c>
      <c r="FZ9" s="241">
        <f t="shared" ref="FZ9:FZ41" si="146">IF(FY9="","",IF(FY9=1,$C$4*$D9,FV9))</f>
        <v>0.17652834059125533</v>
      </c>
      <c r="GA9" s="241" t="str">
        <f t="shared" ref="GA9:GA41" si="147">IF(FZ9="","",IF(FX$42=0,"סיום",IF(FY9=1,"מוגן",FZ9/SUMIF(FY$9:FY$41,"=0",FZ$9:FZ$41))))</f>
        <v>סיום</v>
      </c>
      <c r="GB9" s="242">
        <f t="shared" ref="GB9:GB41" si="148">IF(GA9="","",IF(FY9=1,FZ9,IF(GA9="סיום",FZ9,FZ9-(FZ$42-GA$42)*GA9)))</f>
        <v>0.17652834059125533</v>
      </c>
      <c r="GC9" s="240">
        <f t="shared" ref="GC9:GC41" si="149">IF(GB9="","",IF($D9=0,"--",GB9/$D9))</f>
        <v>1.0023412664686804</v>
      </c>
      <c r="GD9" s="84">
        <f t="shared" ref="GD9:GD41" si="150">IF(GC9="","",IF(AND($C9=1,GC9&lt;(1-$C$3)),1,0))</f>
        <v>0</v>
      </c>
      <c r="GE9" s="84">
        <f>IF(GD9="","",IF(OR(GD9=1,IF(ISNA(MATCH("מוגן",$I9:GD9,0)),FALSE,TRUE)),1,0))</f>
        <v>0</v>
      </c>
      <c r="GF9" s="241">
        <f t="shared" ref="GF9:GF41" si="151">IF(GE9="","",IF(GE9=1,$C$4*$D9,GB9))</f>
        <v>0.17652834059125533</v>
      </c>
      <c r="GG9" s="241" t="str">
        <f t="shared" ref="GG9:GG41" si="152">IF(GF9="","",IF(GD$42=0,"סיום",IF(GE9=1,"מוגן",GF9/SUMIF(GE$9:GE$41,"=0",GF$9:GF$41))))</f>
        <v>סיום</v>
      </c>
      <c r="GH9" s="242">
        <f t="shared" ref="GH9:GH41" si="153">IF(GG9="","",IF(GE9=1,GF9,IF(GG9="סיום",GF9,GF9-(GF$42-GG$42)*GG9)))</f>
        <v>0.17652834059125533</v>
      </c>
      <c r="GI9" s="240">
        <f t="shared" ref="GI9:GI41" si="154">IF(GH9="","",IF($D9=0,"--",GH9/$D9))</f>
        <v>1.0023412664686804</v>
      </c>
      <c r="GJ9" s="84">
        <f t="shared" ref="GJ9:GJ41" si="155">IF(GI9="","",IF(AND($C9=1,GI9&lt;(1-$C$3)),1,0))</f>
        <v>0</v>
      </c>
      <c r="GK9" s="84">
        <f>IF(GJ9="","",IF(OR(GJ9=1,IF(ISNA(MATCH("מוגן",$I9:GJ9,0)),FALSE,TRUE)),1,0))</f>
        <v>0</v>
      </c>
      <c r="GL9" s="241">
        <f t="shared" ref="GL9:GL41" si="156">IF(GK9="","",IF(GK9=1,$C$4*$D9,GH9))</f>
        <v>0.17652834059125533</v>
      </c>
      <c r="GM9" s="241" t="str">
        <f t="shared" ref="GM9:GM41" si="157">IF(GL9="","",IF(GJ$42=0,"סיום",IF(GK9=1,"מוגן",GL9/SUMIF(GK$9:GK$41,"=0",GL$9:GL$41))))</f>
        <v>סיום</v>
      </c>
      <c r="GN9" s="242">
        <f t="shared" ref="GN9:GN41" si="158">IF(GM9="","",IF(GK9=1,GL9,IF(GM9="סיום",GL9,GL9-(GL$42-GM$42)*GM9)))</f>
        <v>0.17652834059125533</v>
      </c>
      <c r="GO9" s="240">
        <f t="shared" ref="GO9:GO41" si="159">IF(GN9="","",IF($D9=0,"--",GN9/$D9))</f>
        <v>1.0023412664686804</v>
      </c>
      <c r="GP9" s="84">
        <f t="shared" ref="GP9:GP41" si="160">IF(GO9="","",IF(AND($C9=1,GO9&lt;(1-$C$3)),1,0))</f>
        <v>0</v>
      </c>
      <c r="GQ9" s="84">
        <f>IF(GP9="","",IF(OR(GP9=1,IF(ISNA(MATCH("מוגן",$I9:GP9,0)),FALSE,TRUE)),1,0))</f>
        <v>0</v>
      </c>
      <c r="GR9" s="241">
        <f t="shared" ref="GR9:GR41" si="161">IF(GQ9="","",IF(GQ9=1,$C$4*$D9,GN9))</f>
        <v>0.17652834059125533</v>
      </c>
      <c r="GS9" s="241" t="str">
        <f t="shared" ref="GS9:GS41" si="162">IF(GR9="","",IF(GP$42=0,"סיום",IF(GQ9=1,"מוגן",GR9/SUMIF(GQ$9:GQ$41,"=0",GR$9:GR$41))))</f>
        <v>סיום</v>
      </c>
      <c r="GT9" s="242">
        <f t="shared" ref="GT9:GT41" si="163">IF(GS9="","",IF(GQ9=1,GR9,IF(GS9="סיום",GR9,GR9-(GR$42-GS$42)*GS9)))</f>
        <v>0.17652834059125533</v>
      </c>
      <c r="GU9" s="240">
        <f t="shared" ref="GU9:GU41" si="164">IF(GT9="","",IF($D9=0,"--",GT9/$D9))</f>
        <v>1.0023412664686804</v>
      </c>
      <c r="GV9" s="84">
        <f t="shared" ref="GV9:GV41" si="165">IF(GU9="","",IF(AND($C9=1,GU9&lt;(1-$C$3)),1,0))</f>
        <v>0</v>
      </c>
      <c r="GW9" s="84">
        <f>IF(GV9="","",IF(OR(GV9=1,IF(ISNA(MATCH("מוגן",$I9:GV9,0)),FALSE,TRUE)),1,0))</f>
        <v>0</v>
      </c>
      <c r="GX9" s="241">
        <f t="shared" ref="GX9:GX41" si="166">IF(GW9="","",IF(GW9=1,$C$4*$D9,GT9))</f>
        <v>0.17652834059125533</v>
      </c>
      <c r="GY9" s="241" t="str">
        <f t="shared" ref="GY9:GY41" si="167">IF(GX9="","",IF(GV$42=0,"סיום",IF(GW9=1,"מוגן",GX9/SUMIF(GW$9:GW$41,"=0",GX$9:GX$41))))</f>
        <v>סיום</v>
      </c>
      <c r="GZ9" s="242">
        <f t="shared" ref="GZ9:GZ41" si="168">IF(GY9="","",IF(GW9=1,GX9,IF(GY9="סיום",GX9,GX9-(GX$42-GY$42)*GY9)))</f>
        <v>0.17652834059125533</v>
      </c>
      <c r="HA9" s="119">
        <f t="shared" ref="HA9:HA41" si="169">IF(D9="---",0,IF(P9="","",GZ9*$I$6))</f>
        <v>17444886.321834143</v>
      </c>
      <c r="HB9" s="243" t="str">
        <f t="shared" ref="HB9:HB41" si="170">IF(AND(HD9=1,C9=1),"Prob.","OK")</f>
        <v>OK</v>
      </c>
      <c r="HC9" s="244">
        <f t="shared" ref="HC9:HC41" si="171">IF(GZ9="","",IF(D9=0,"---",GZ9/$D9))</f>
        <v>1.0023412664686804</v>
      </c>
      <c r="HD9" s="245">
        <f t="shared" ref="HD9:HD41" si="172">IF(HC9="","",IF(HC9&lt;(1-$C$3),1,P9))</f>
        <v>0.17652834059125533</v>
      </c>
      <c r="HE9" s="111">
        <f>IF($B9="","",0)</f>
        <v>0</v>
      </c>
      <c r="HF9" s="111">
        <f>IF($B9="","",1)</f>
        <v>1</v>
      </c>
      <c r="HG9" s="111" t="b">
        <f>OR(B9="",ISNA(MATCH(C9,{0,1},0)))</f>
        <v>0</v>
      </c>
    </row>
    <row r="10" spans="1:215">
      <c r="A10" s="120">
        <f>ייצוב!A6</f>
        <v>2</v>
      </c>
      <c r="B10" s="121" t="str">
        <f>ייצוב!B6</f>
        <v>הקאמרי</v>
      </c>
      <c r="C10" s="67"/>
      <c r="D10" s="240">
        <f>ייצוב!E6</f>
        <v>0.11757759266389904</v>
      </c>
      <c r="E10" s="240">
        <f>ייצוב!G6</f>
        <v>0.11087060757687477</v>
      </c>
      <c r="F10" s="240">
        <f t="shared" si="0"/>
        <v>0.94295694498358629</v>
      </c>
      <c r="G10" s="84">
        <f t="shared" si="1"/>
        <v>0</v>
      </c>
      <c r="H10" s="241">
        <f t="shared" si="2"/>
        <v>0.11087060757687477</v>
      </c>
      <c r="I10" s="241">
        <f t="array" ref="I10">IF(H10="","",IF(G10=1,"מוגן",H10/SUMIF(G$9:G$41,"=0",H$9:H$41)))</f>
        <v>0.11087060757687477</v>
      </c>
      <c r="J10" s="242">
        <f t="shared" si="3"/>
        <v>0.11087060757687477</v>
      </c>
      <c r="K10" s="240">
        <f t="shared" si="4"/>
        <v>0.94295694498358629</v>
      </c>
      <c r="L10" s="84">
        <f t="shared" si="5"/>
        <v>0</v>
      </c>
      <c r="M10" s="84">
        <f>IF(L10="","",IF(OR(L10=1,IF(ISNA(MATCH("מוגן",$I10:L10,0)),FALSE,TRUE)),1,0))</f>
        <v>0</v>
      </c>
      <c r="N10" s="241">
        <f t="shared" si="6"/>
        <v>0.11087060757687477</v>
      </c>
      <c r="O10" s="241" t="str">
        <f t="shared" si="7"/>
        <v>סיום</v>
      </c>
      <c r="P10" s="242">
        <f t="shared" si="8"/>
        <v>0.11087060757687477</v>
      </c>
      <c r="Q10" s="240">
        <f t="shared" si="9"/>
        <v>0.94295694498358629</v>
      </c>
      <c r="R10" s="84">
        <f t="shared" si="10"/>
        <v>0</v>
      </c>
      <c r="S10" s="84">
        <f>IF(R10="","",IF(OR(R10=1,IF(ISNA(MATCH("מוגן",$I10:R10,0)),FALSE,TRUE)),1,0))</f>
        <v>0</v>
      </c>
      <c r="T10" s="241">
        <f t="shared" si="11"/>
        <v>0.11087060757687477</v>
      </c>
      <c r="U10" s="241" t="str">
        <f t="shared" si="12"/>
        <v>סיום</v>
      </c>
      <c r="V10" s="242">
        <f t="shared" si="13"/>
        <v>0.11087060757687477</v>
      </c>
      <c r="W10" s="240">
        <f t="shared" si="14"/>
        <v>0.94295694498358629</v>
      </c>
      <c r="X10" s="84">
        <f t="shared" si="15"/>
        <v>0</v>
      </c>
      <c r="Y10" s="84">
        <f>IF(X10="","",IF(OR(X10=1,IF(ISNA(MATCH("מוגן",$I10:X10,0)),FALSE,TRUE)),1,0))</f>
        <v>0</v>
      </c>
      <c r="Z10" s="241">
        <f t="shared" si="16"/>
        <v>0.11087060757687477</v>
      </c>
      <c r="AA10" s="241" t="str">
        <f t="shared" si="17"/>
        <v>סיום</v>
      </c>
      <c r="AB10" s="242">
        <f t="shared" si="18"/>
        <v>0.11087060757687477</v>
      </c>
      <c r="AC10" s="240">
        <f t="shared" si="19"/>
        <v>0.94295694498358629</v>
      </c>
      <c r="AD10" s="84">
        <f t="shared" si="20"/>
        <v>0</v>
      </c>
      <c r="AE10" s="84">
        <f>IF(AD10="","",IF(OR(AD10=1,IF(ISNA(MATCH("מוגן",$I10:AD10,0)),FALSE,TRUE)),1,0))</f>
        <v>0</v>
      </c>
      <c r="AF10" s="241">
        <f t="shared" si="21"/>
        <v>0.11087060757687477</v>
      </c>
      <c r="AG10" s="241" t="str">
        <f t="shared" si="22"/>
        <v>סיום</v>
      </c>
      <c r="AH10" s="242">
        <f t="shared" si="23"/>
        <v>0.11087060757687477</v>
      </c>
      <c r="AI10" s="240">
        <f t="shared" si="24"/>
        <v>0.94295694498358629</v>
      </c>
      <c r="AJ10" s="84">
        <f t="shared" si="25"/>
        <v>0</v>
      </c>
      <c r="AK10" s="84">
        <f>IF(AJ10="","",IF(OR(AJ10=1,IF(ISNA(MATCH("מוגן",$I10:AJ10,0)),FALSE,TRUE)),1,0))</f>
        <v>0</v>
      </c>
      <c r="AL10" s="241">
        <f t="shared" si="26"/>
        <v>0.11087060757687477</v>
      </c>
      <c r="AM10" s="241" t="str">
        <f t="shared" si="27"/>
        <v>סיום</v>
      </c>
      <c r="AN10" s="242">
        <f t="shared" si="28"/>
        <v>0.11087060757687477</v>
      </c>
      <c r="AO10" s="240">
        <f t="shared" si="29"/>
        <v>0.94295694498358629</v>
      </c>
      <c r="AP10" s="84">
        <f t="shared" si="30"/>
        <v>0</v>
      </c>
      <c r="AQ10" s="84">
        <f>IF(AP10="","",IF(OR(AP10=1,IF(ISNA(MATCH("מוגן",$I10:AP10,0)),FALSE,TRUE)),1,0))</f>
        <v>0</v>
      </c>
      <c r="AR10" s="241">
        <f t="shared" si="31"/>
        <v>0.11087060757687477</v>
      </c>
      <c r="AS10" s="241" t="str">
        <f t="shared" si="32"/>
        <v>סיום</v>
      </c>
      <c r="AT10" s="242">
        <f t="shared" si="33"/>
        <v>0.11087060757687477</v>
      </c>
      <c r="AU10" s="240">
        <f t="shared" si="34"/>
        <v>0.94295694498358629</v>
      </c>
      <c r="AV10" s="84">
        <f t="shared" si="35"/>
        <v>0</v>
      </c>
      <c r="AW10" s="84">
        <f>IF(AV10="","",IF(OR(AV10=1,IF(ISNA(MATCH("מוגן",$I10:AV10,0)),FALSE,TRUE)),1,0))</f>
        <v>0</v>
      </c>
      <c r="AX10" s="241">
        <f t="shared" si="36"/>
        <v>0.11087060757687477</v>
      </c>
      <c r="AY10" s="241" t="str">
        <f t="shared" si="37"/>
        <v>סיום</v>
      </c>
      <c r="AZ10" s="242">
        <f t="shared" si="38"/>
        <v>0.11087060757687477</v>
      </c>
      <c r="BA10" s="240">
        <f t="shared" si="39"/>
        <v>0.94295694498358629</v>
      </c>
      <c r="BB10" s="84">
        <f t="shared" si="40"/>
        <v>0</v>
      </c>
      <c r="BC10" s="84">
        <f>IF(BB10="","",IF(OR(BB10=1,IF(ISNA(MATCH("מוגן",$I10:BB10,0)),FALSE,TRUE)),1,0))</f>
        <v>0</v>
      </c>
      <c r="BD10" s="241">
        <f t="shared" si="41"/>
        <v>0.11087060757687477</v>
      </c>
      <c r="BE10" s="241" t="str">
        <f t="shared" si="42"/>
        <v>סיום</v>
      </c>
      <c r="BF10" s="242">
        <f t="shared" si="43"/>
        <v>0.11087060757687477</v>
      </c>
      <c r="BG10" s="240">
        <f t="shared" si="44"/>
        <v>0.94295694498358629</v>
      </c>
      <c r="BH10" s="84">
        <f t="shared" si="45"/>
        <v>0</v>
      </c>
      <c r="BI10" s="84">
        <f>IF(BH10="","",IF(OR(BH10=1,IF(ISNA(MATCH("מוגן",$I10:BH10,0)),FALSE,TRUE)),1,0))</f>
        <v>0</v>
      </c>
      <c r="BJ10" s="241">
        <f t="shared" si="46"/>
        <v>0.11087060757687477</v>
      </c>
      <c r="BK10" s="241" t="str">
        <f t="shared" si="47"/>
        <v>סיום</v>
      </c>
      <c r="BL10" s="242">
        <f t="shared" si="48"/>
        <v>0.11087060757687477</v>
      </c>
      <c r="BM10" s="240">
        <f t="shared" si="49"/>
        <v>0.94295694498358629</v>
      </c>
      <c r="BN10" s="84">
        <f t="shared" si="50"/>
        <v>0</v>
      </c>
      <c r="BO10" s="84">
        <f>IF(BN10="","",IF(OR(BN10=1,IF(ISNA(MATCH("מוגן",$I10:BN10,0)),FALSE,TRUE)),1,0))</f>
        <v>0</v>
      </c>
      <c r="BP10" s="241">
        <f t="shared" si="51"/>
        <v>0.11087060757687477</v>
      </c>
      <c r="BQ10" s="241" t="str">
        <f t="shared" si="52"/>
        <v>סיום</v>
      </c>
      <c r="BR10" s="242">
        <f t="shared" si="53"/>
        <v>0.11087060757687477</v>
      </c>
      <c r="BS10" s="240">
        <f t="shared" si="54"/>
        <v>0.94295694498358629</v>
      </c>
      <c r="BT10" s="84">
        <f t="shared" si="55"/>
        <v>0</v>
      </c>
      <c r="BU10" s="84">
        <f>IF(BT10="","",IF(OR(BT10=1,IF(ISNA(MATCH("מוגן",$I10:BT10,0)),FALSE,TRUE)),1,0))</f>
        <v>0</v>
      </c>
      <c r="BV10" s="241">
        <f t="shared" si="56"/>
        <v>0.11087060757687477</v>
      </c>
      <c r="BW10" s="241" t="str">
        <f t="shared" si="57"/>
        <v>סיום</v>
      </c>
      <c r="BX10" s="242">
        <f t="shared" si="58"/>
        <v>0.11087060757687477</v>
      </c>
      <c r="BY10" s="240">
        <f t="shared" si="59"/>
        <v>0.94295694498358629</v>
      </c>
      <c r="BZ10" s="84">
        <f t="shared" si="60"/>
        <v>0</v>
      </c>
      <c r="CA10" s="84">
        <f>IF(BZ10="","",IF(OR(BZ10=1,IF(ISNA(MATCH("מוגן",$I10:BZ10,0)),FALSE,TRUE)),1,0))</f>
        <v>0</v>
      </c>
      <c r="CB10" s="241">
        <f t="shared" si="61"/>
        <v>0.11087060757687477</v>
      </c>
      <c r="CC10" s="241" t="str">
        <f t="shared" si="62"/>
        <v>סיום</v>
      </c>
      <c r="CD10" s="242">
        <f t="shared" si="63"/>
        <v>0.11087060757687477</v>
      </c>
      <c r="CE10" s="240">
        <f t="shared" si="64"/>
        <v>0.94295694498358629</v>
      </c>
      <c r="CF10" s="84">
        <f t="shared" si="65"/>
        <v>0</v>
      </c>
      <c r="CG10" s="84">
        <f>IF(CF10="","",IF(OR(CF10=1,IF(ISNA(MATCH("מוגן",$I10:CF10,0)),FALSE,TRUE)),1,0))</f>
        <v>0</v>
      </c>
      <c r="CH10" s="241">
        <f t="shared" si="66"/>
        <v>0.11087060757687477</v>
      </c>
      <c r="CI10" s="241" t="str">
        <f t="shared" si="67"/>
        <v>סיום</v>
      </c>
      <c r="CJ10" s="242">
        <f t="shared" si="68"/>
        <v>0.11087060757687477</v>
      </c>
      <c r="CK10" s="240">
        <f t="shared" si="69"/>
        <v>0.94295694498358629</v>
      </c>
      <c r="CL10" s="84">
        <f t="shared" si="70"/>
        <v>0</v>
      </c>
      <c r="CM10" s="84">
        <f>IF(CL10="","",IF(OR(CL10=1,IF(ISNA(MATCH("מוגן",$I10:CL10,0)),FALSE,TRUE)),1,0))</f>
        <v>0</v>
      </c>
      <c r="CN10" s="241">
        <f t="shared" si="71"/>
        <v>0.11087060757687477</v>
      </c>
      <c r="CO10" s="241" t="str">
        <f t="shared" si="72"/>
        <v>סיום</v>
      </c>
      <c r="CP10" s="242">
        <f t="shared" si="73"/>
        <v>0.11087060757687477</v>
      </c>
      <c r="CQ10" s="240">
        <f t="shared" si="74"/>
        <v>0.94295694498358629</v>
      </c>
      <c r="CR10" s="84">
        <f t="shared" si="75"/>
        <v>0</v>
      </c>
      <c r="CS10" s="84">
        <f>IF(CR10="","",IF(OR(CR10=1,IF(ISNA(MATCH("מוגן",$I10:CR10,0)),FALSE,TRUE)),1,0))</f>
        <v>0</v>
      </c>
      <c r="CT10" s="241">
        <f t="shared" si="76"/>
        <v>0.11087060757687477</v>
      </c>
      <c r="CU10" s="241" t="str">
        <f t="shared" si="77"/>
        <v>סיום</v>
      </c>
      <c r="CV10" s="242">
        <f t="shared" si="78"/>
        <v>0.11087060757687477</v>
      </c>
      <c r="CW10" s="240">
        <f t="shared" si="79"/>
        <v>0.94295694498358629</v>
      </c>
      <c r="CX10" s="84">
        <f t="shared" si="80"/>
        <v>0</v>
      </c>
      <c r="CY10" s="84">
        <f>IF(CX10="","",IF(OR(CX10=1,IF(ISNA(MATCH("מוגן",$I10:CX10,0)),FALSE,TRUE)),1,0))</f>
        <v>0</v>
      </c>
      <c r="CZ10" s="241">
        <f t="shared" si="81"/>
        <v>0.11087060757687477</v>
      </c>
      <c r="DA10" s="241" t="str">
        <f t="shared" si="82"/>
        <v>סיום</v>
      </c>
      <c r="DB10" s="242">
        <f t="shared" si="83"/>
        <v>0.11087060757687477</v>
      </c>
      <c r="DC10" s="240">
        <f t="shared" si="84"/>
        <v>0.94295694498358629</v>
      </c>
      <c r="DD10" s="84">
        <f t="shared" si="85"/>
        <v>0</v>
      </c>
      <c r="DE10" s="84">
        <f>IF(DD10="","",IF(OR(DD10=1,IF(ISNA(MATCH("מוגן",$I10:DD10,0)),FALSE,TRUE)),1,0))</f>
        <v>0</v>
      </c>
      <c r="DF10" s="241">
        <f t="shared" si="86"/>
        <v>0.11087060757687477</v>
      </c>
      <c r="DG10" s="241" t="str">
        <f t="shared" si="87"/>
        <v>סיום</v>
      </c>
      <c r="DH10" s="242">
        <f t="shared" si="88"/>
        <v>0.11087060757687477</v>
      </c>
      <c r="DI10" s="240">
        <f t="shared" si="89"/>
        <v>0.94295694498358629</v>
      </c>
      <c r="DJ10" s="84">
        <f t="shared" si="90"/>
        <v>0</v>
      </c>
      <c r="DK10" s="84">
        <f>IF(DJ10="","",IF(OR(DJ10=1,IF(ISNA(MATCH("מוגן",$I10:DJ10,0)),FALSE,TRUE)),1,0))</f>
        <v>0</v>
      </c>
      <c r="DL10" s="241">
        <f t="shared" si="91"/>
        <v>0.11087060757687477</v>
      </c>
      <c r="DM10" s="241" t="str">
        <f t="shared" si="92"/>
        <v>סיום</v>
      </c>
      <c r="DN10" s="242">
        <f t="shared" si="93"/>
        <v>0.11087060757687477</v>
      </c>
      <c r="DO10" s="240">
        <f t="shared" si="94"/>
        <v>0.94295694498358629</v>
      </c>
      <c r="DP10" s="84">
        <f t="shared" si="95"/>
        <v>0</v>
      </c>
      <c r="DQ10" s="84">
        <f>IF(DP10="","",IF(OR(DP10=1,IF(ISNA(MATCH("מוגן",$I10:DP10,0)),FALSE,TRUE)),1,0))</f>
        <v>0</v>
      </c>
      <c r="DR10" s="241">
        <f t="shared" si="96"/>
        <v>0.11087060757687477</v>
      </c>
      <c r="DS10" s="241" t="str">
        <f t="shared" si="97"/>
        <v>סיום</v>
      </c>
      <c r="DT10" s="242">
        <f t="shared" si="98"/>
        <v>0.11087060757687477</v>
      </c>
      <c r="DU10" s="240">
        <f t="shared" si="99"/>
        <v>0.94295694498358629</v>
      </c>
      <c r="DV10" s="84">
        <f t="shared" si="100"/>
        <v>0</v>
      </c>
      <c r="DW10" s="84">
        <f>IF(DV10="","",IF(OR(DV10=1,IF(ISNA(MATCH("מוגן",$I10:DV10,0)),FALSE,TRUE)),1,0))</f>
        <v>0</v>
      </c>
      <c r="DX10" s="241">
        <f t="shared" si="101"/>
        <v>0.11087060757687477</v>
      </c>
      <c r="DY10" s="241" t="str">
        <f t="shared" si="102"/>
        <v>סיום</v>
      </c>
      <c r="DZ10" s="242">
        <f t="shared" si="103"/>
        <v>0.11087060757687477</v>
      </c>
      <c r="EA10" s="240">
        <f t="shared" si="104"/>
        <v>0.94295694498358629</v>
      </c>
      <c r="EB10" s="84">
        <f t="shared" si="105"/>
        <v>0</v>
      </c>
      <c r="EC10" s="84">
        <f>IF(EB10="","",IF(OR(EB10=1,IF(ISNA(MATCH("מוגן",$I10:EB10,0)),FALSE,TRUE)),1,0))</f>
        <v>0</v>
      </c>
      <c r="ED10" s="241">
        <f t="shared" si="106"/>
        <v>0.11087060757687477</v>
      </c>
      <c r="EE10" s="241" t="str">
        <f t="shared" si="107"/>
        <v>סיום</v>
      </c>
      <c r="EF10" s="242">
        <f t="shared" si="108"/>
        <v>0.11087060757687477</v>
      </c>
      <c r="EG10" s="240">
        <f t="shared" si="109"/>
        <v>0.94295694498358629</v>
      </c>
      <c r="EH10" s="84">
        <f t="shared" si="110"/>
        <v>0</v>
      </c>
      <c r="EI10" s="84">
        <f>IF(EH10="","",IF(OR(EH10=1,IF(ISNA(MATCH("מוגן",$I10:EH10,0)),FALSE,TRUE)),1,0))</f>
        <v>0</v>
      </c>
      <c r="EJ10" s="241">
        <f t="shared" si="111"/>
        <v>0.11087060757687477</v>
      </c>
      <c r="EK10" s="241" t="str">
        <f t="shared" si="112"/>
        <v>סיום</v>
      </c>
      <c r="EL10" s="242">
        <f t="shared" si="113"/>
        <v>0.11087060757687477</v>
      </c>
      <c r="EM10" s="240">
        <f t="shared" si="114"/>
        <v>0.94295694498358629</v>
      </c>
      <c r="EN10" s="84">
        <f t="shared" si="115"/>
        <v>0</v>
      </c>
      <c r="EO10" s="84">
        <f>IF(EN10="","",IF(OR(EN10=1,IF(ISNA(MATCH("מוגן",$I10:EN10,0)),FALSE,TRUE)),1,0))</f>
        <v>0</v>
      </c>
      <c r="EP10" s="241">
        <f t="shared" si="116"/>
        <v>0.11087060757687477</v>
      </c>
      <c r="EQ10" s="241" t="str">
        <f t="shared" si="117"/>
        <v>סיום</v>
      </c>
      <c r="ER10" s="242">
        <f t="shared" si="118"/>
        <v>0.11087060757687477</v>
      </c>
      <c r="ES10" s="240">
        <f t="shared" si="119"/>
        <v>0.94295694498358629</v>
      </c>
      <c r="ET10" s="84">
        <f t="shared" si="120"/>
        <v>0</v>
      </c>
      <c r="EU10" s="84">
        <f>IF(ET10="","",IF(OR(ET10=1,IF(ISNA(MATCH("מוגן",$I10:ET10,0)),FALSE,TRUE)),1,0))</f>
        <v>0</v>
      </c>
      <c r="EV10" s="241">
        <f t="shared" si="121"/>
        <v>0.11087060757687477</v>
      </c>
      <c r="EW10" s="241" t="str">
        <f t="shared" si="122"/>
        <v>סיום</v>
      </c>
      <c r="EX10" s="242">
        <f t="shared" si="123"/>
        <v>0.11087060757687477</v>
      </c>
      <c r="EY10" s="240">
        <f t="shared" si="124"/>
        <v>0.94295694498358629</v>
      </c>
      <c r="EZ10" s="84">
        <f t="shared" si="125"/>
        <v>0</v>
      </c>
      <c r="FA10" s="84">
        <f>IF(EZ10="","",IF(OR(EZ10=1,IF(ISNA(MATCH("מוגן",$I10:EZ10,0)),FALSE,TRUE)),1,0))</f>
        <v>0</v>
      </c>
      <c r="FB10" s="241">
        <f t="shared" si="126"/>
        <v>0.11087060757687477</v>
      </c>
      <c r="FC10" s="241" t="str">
        <f t="shared" si="127"/>
        <v>סיום</v>
      </c>
      <c r="FD10" s="242">
        <f t="shared" si="128"/>
        <v>0.11087060757687477</v>
      </c>
      <c r="FE10" s="240">
        <f t="shared" si="129"/>
        <v>0.94295694498358629</v>
      </c>
      <c r="FF10" s="84">
        <f t="shared" si="130"/>
        <v>0</v>
      </c>
      <c r="FG10" s="84">
        <f>IF(FF10="","",IF(OR(FF10=1,IF(ISNA(MATCH("מוגן",$I10:FF10,0)),FALSE,TRUE)),1,0))</f>
        <v>0</v>
      </c>
      <c r="FH10" s="241">
        <f t="shared" si="131"/>
        <v>0.11087060757687477</v>
      </c>
      <c r="FI10" s="241" t="str">
        <f t="shared" si="132"/>
        <v>סיום</v>
      </c>
      <c r="FJ10" s="242">
        <f t="shared" si="133"/>
        <v>0.11087060757687477</v>
      </c>
      <c r="FK10" s="240">
        <f t="shared" si="134"/>
        <v>0.94295694498358629</v>
      </c>
      <c r="FL10" s="84">
        <f t="shared" si="135"/>
        <v>0</v>
      </c>
      <c r="FM10" s="84">
        <f>IF(FL10="","",IF(OR(FL10=1,IF(ISNA(MATCH("מוגן",$I10:FL10,0)),FALSE,TRUE)),1,0))</f>
        <v>0</v>
      </c>
      <c r="FN10" s="241">
        <f t="shared" si="136"/>
        <v>0.11087060757687477</v>
      </c>
      <c r="FO10" s="241" t="str">
        <f t="shared" si="137"/>
        <v>סיום</v>
      </c>
      <c r="FP10" s="242">
        <f t="shared" si="138"/>
        <v>0.11087060757687477</v>
      </c>
      <c r="FQ10" s="240">
        <f t="shared" si="139"/>
        <v>0.94295694498358629</v>
      </c>
      <c r="FR10" s="84">
        <f t="shared" si="140"/>
        <v>0</v>
      </c>
      <c r="FS10" s="84">
        <f>IF(FR10="","",IF(OR(FR10=1,IF(ISNA(MATCH("מוגן",$I10:FR10,0)),FALSE,TRUE)),1,0))</f>
        <v>0</v>
      </c>
      <c r="FT10" s="241">
        <f t="shared" si="141"/>
        <v>0.11087060757687477</v>
      </c>
      <c r="FU10" s="241" t="str">
        <f t="shared" si="142"/>
        <v>סיום</v>
      </c>
      <c r="FV10" s="242">
        <f t="shared" si="143"/>
        <v>0.11087060757687477</v>
      </c>
      <c r="FW10" s="240">
        <f t="shared" si="144"/>
        <v>0.94295694498358629</v>
      </c>
      <c r="FX10" s="84">
        <f t="shared" si="145"/>
        <v>0</v>
      </c>
      <c r="FY10" s="84">
        <f>IF(FX10="","",IF(OR(FX10=1,IF(ISNA(MATCH("מוגן",$I10:FX10,0)),FALSE,TRUE)),1,0))</f>
        <v>0</v>
      </c>
      <c r="FZ10" s="241">
        <f t="shared" si="146"/>
        <v>0.11087060757687477</v>
      </c>
      <c r="GA10" s="241" t="str">
        <f t="shared" si="147"/>
        <v>סיום</v>
      </c>
      <c r="GB10" s="242">
        <f t="shared" si="148"/>
        <v>0.11087060757687477</v>
      </c>
      <c r="GC10" s="240">
        <f t="shared" si="149"/>
        <v>0.94295694498358629</v>
      </c>
      <c r="GD10" s="84">
        <f t="shared" si="150"/>
        <v>0</v>
      </c>
      <c r="GE10" s="84">
        <f>IF(GD10="","",IF(OR(GD10=1,IF(ISNA(MATCH("מוגן",$I10:GD10,0)),FALSE,TRUE)),1,0))</f>
        <v>0</v>
      </c>
      <c r="GF10" s="241">
        <f t="shared" si="151"/>
        <v>0.11087060757687477</v>
      </c>
      <c r="GG10" s="241" t="str">
        <f t="shared" si="152"/>
        <v>סיום</v>
      </c>
      <c r="GH10" s="242">
        <f t="shared" si="153"/>
        <v>0.11087060757687477</v>
      </c>
      <c r="GI10" s="240">
        <f t="shared" si="154"/>
        <v>0.94295694498358629</v>
      </c>
      <c r="GJ10" s="84">
        <f t="shared" si="155"/>
        <v>0</v>
      </c>
      <c r="GK10" s="84">
        <f>IF(GJ10="","",IF(OR(GJ10=1,IF(ISNA(MATCH("מוגן",$I10:GJ10,0)),FALSE,TRUE)),1,0))</f>
        <v>0</v>
      </c>
      <c r="GL10" s="241">
        <f t="shared" si="156"/>
        <v>0.11087060757687477</v>
      </c>
      <c r="GM10" s="241" t="str">
        <f t="shared" si="157"/>
        <v>סיום</v>
      </c>
      <c r="GN10" s="242">
        <f t="shared" si="158"/>
        <v>0.11087060757687477</v>
      </c>
      <c r="GO10" s="240">
        <f t="shared" si="159"/>
        <v>0.94295694498358629</v>
      </c>
      <c r="GP10" s="84">
        <f t="shared" si="160"/>
        <v>0</v>
      </c>
      <c r="GQ10" s="84">
        <f>IF(GP10="","",IF(OR(GP10=1,IF(ISNA(MATCH("מוגן",$I10:GP10,0)),FALSE,TRUE)),1,0))</f>
        <v>0</v>
      </c>
      <c r="GR10" s="241">
        <f t="shared" si="161"/>
        <v>0.11087060757687477</v>
      </c>
      <c r="GS10" s="241" t="str">
        <f t="shared" si="162"/>
        <v>סיום</v>
      </c>
      <c r="GT10" s="242">
        <f t="shared" si="163"/>
        <v>0.11087060757687477</v>
      </c>
      <c r="GU10" s="240">
        <f t="shared" si="164"/>
        <v>0.94295694498358629</v>
      </c>
      <c r="GV10" s="84">
        <f t="shared" si="165"/>
        <v>0</v>
      </c>
      <c r="GW10" s="84">
        <f>IF(GV10="","",IF(OR(GV10=1,IF(ISNA(MATCH("מוגן",$I10:GV10,0)),FALSE,TRUE)),1,0))</f>
        <v>0</v>
      </c>
      <c r="GX10" s="241">
        <f t="shared" si="166"/>
        <v>0.11087060757687477</v>
      </c>
      <c r="GY10" s="241" t="str">
        <f t="shared" si="167"/>
        <v>סיום</v>
      </c>
      <c r="GZ10" s="242">
        <f t="shared" si="168"/>
        <v>0.11087060757687477</v>
      </c>
      <c r="HA10" s="119">
        <f t="shared" si="169"/>
        <v>10956456.845021032</v>
      </c>
      <c r="HB10" s="246" t="str">
        <f t="shared" si="170"/>
        <v>OK</v>
      </c>
      <c r="HC10" s="244">
        <f t="shared" si="171"/>
        <v>0.94295694498358629</v>
      </c>
      <c r="HD10" s="245">
        <f t="shared" si="172"/>
        <v>0.11087060757687477</v>
      </c>
      <c r="HE10" s="111">
        <f t="shared" ref="HE10:HE41" si="173">IF($B10="","",0)</f>
        <v>0</v>
      </c>
      <c r="HF10" s="111">
        <f t="shared" ref="HF10:HF41" si="174">IF($B10="","",1)</f>
        <v>1</v>
      </c>
      <c r="HG10" s="111" t="b">
        <f>OR(B10="",ISNA(MATCH(C10,{0,1},0)))</f>
        <v>0</v>
      </c>
    </row>
    <row r="11" spans="1:215">
      <c r="A11" s="120">
        <f>ייצוב!A7</f>
        <v>3</v>
      </c>
      <c r="B11" s="121" t="str">
        <f>ייצוב!B7</f>
        <v>בית לסין</v>
      </c>
      <c r="C11" s="67"/>
      <c r="D11" s="240">
        <f>ייצוב!E7</f>
        <v>9.4842307561226857E-2</v>
      </c>
      <c r="E11" s="240">
        <f>ייצוב!G7</f>
        <v>9.0245355740511027E-2</v>
      </c>
      <c r="F11" s="240">
        <f t="shared" si="0"/>
        <v>0.95153057808353936</v>
      </c>
      <c r="G11" s="84">
        <f t="shared" si="1"/>
        <v>0</v>
      </c>
      <c r="H11" s="241">
        <f t="shared" si="2"/>
        <v>9.0245355740511027E-2</v>
      </c>
      <c r="I11" s="241">
        <f t="array" ref="I11">IF(H11="","",IF(G11=1,"מוגן",H11/SUMIF(G$9:G$41,"=0",H$9:H$41)))</f>
        <v>9.0245355740511027E-2</v>
      </c>
      <c r="J11" s="242">
        <f t="shared" si="3"/>
        <v>9.0245355740511027E-2</v>
      </c>
      <c r="K11" s="240">
        <f t="shared" si="4"/>
        <v>0.95153057808353936</v>
      </c>
      <c r="L11" s="84">
        <f t="shared" si="5"/>
        <v>0</v>
      </c>
      <c r="M11" s="84">
        <f>IF(L11="","",IF(OR(L11=1,IF(ISNA(MATCH("מוגן",$I11:L11,0)),FALSE,TRUE)),1,0))</f>
        <v>0</v>
      </c>
      <c r="N11" s="241">
        <f t="shared" si="6"/>
        <v>9.0245355740511027E-2</v>
      </c>
      <c r="O11" s="241" t="str">
        <f t="shared" si="7"/>
        <v>סיום</v>
      </c>
      <c r="P11" s="242">
        <f t="shared" si="8"/>
        <v>9.0245355740511027E-2</v>
      </c>
      <c r="Q11" s="240">
        <f t="shared" si="9"/>
        <v>0.95153057808353936</v>
      </c>
      <c r="R11" s="84">
        <f t="shared" si="10"/>
        <v>0</v>
      </c>
      <c r="S11" s="84">
        <f>IF(R11="","",IF(OR(R11=1,IF(ISNA(MATCH("מוגן",$I11:R11,0)),FALSE,TRUE)),1,0))</f>
        <v>0</v>
      </c>
      <c r="T11" s="241">
        <f t="shared" si="11"/>
        <v>9.0245355740511027E-2</v>
      </c>
      <c r="U11" s="241" t="str">
        <f t="shared" si="12"/>
        <v>סיום</v>
      </c>
      <c r="V11" s="242">
        <f t="shared" si="13"/>
        <v>9.0245355740511027E-2</v>
      </c>
      <c r="W11" s="240">
        <f t="shared" si="14"/>
        <v>0.95153057808353936</v>
      </c>
      <c r="X11" s="84">
        <f t="shared" si="15"/>
        <v>0</v>
      </c>
      <c r="Y11" s="84">
        <f>IF(X11="","",IF(OR(X11=1,IF(ISNA(MATCH("מוגן",$I11:X11,0)),FALSE,TRUE)),1,0))</f>
        <v>0</v>
      </c>
      <c r="Z11" s="241">
        <f t="shared" si="16"/>
        <v>9.0245355740511027E-2</v>
      </c>
      <c r="AA11" s="241" t="str">
        <f t="shared" si="17"/>
        <v>סיום</v>
      </c>
      <c r="AB11" s="242">
        <f t="shared" si="18"/>
        <v>9.0245355740511027E-2</v>
      </c>
      <c r="AC11" s="240">
        <f t="shared" si="19"/>
        <v>0.95153057808353936</v>
      </c>
      <c r="AD11" s="84">
        <f t="shared" si="20"/>
        <v>0</v>
      </c>
      <c r="AE11" s="84">
        <f>IF(AD11="","",IF(OR(AD11=1,IF(ISNA(MATCH("מוגן",$I11:AD11,0)),FALSE,TRUE)),1,0))</f>
        <v>0</v>
      </c>
      <c r="AF11" s="241">
        <f t="shared" si="21"/>
        <v>9.0245355740511027E-2</v>
      </c>
      <c r="AG11" s="241" t="str">
        <f t="shared" si="22"/>
        <v>סיום</v>
      </c>
      <c r="AH11" s="242">
        <f t="shared" si="23"/>
        <v>9.0245355740511027E-2</v>
      </c>
      <c r="AI11" s="240">
        <f t="shared" si="24"/>
        <v>0.95153057808353936</v>
      </c>
      <c r="AJ11" s="84">
        <f t="shared" si="25"/>
        <v>0</v>
      </c>
      <c r="AK11" s="84">
        <f>IF(AJ11="","",IF(OR(AJ11=1,IF(ISNA(MATCH("מוגן",$I11:AJ11,0)),FALSE,TRUE)),1,0))</f>
        <v>0</v>
      </c>
      <c r="AL11" s="241">
        <f t="shared" si="26"/>
        <v>9.0245355740511027E-2</v>
      </c>
      <c r="AM11" s="241" t="str">
        <f t="shared" si="27"/>
        <v>סיום</v>
      </c>
      <c r="AN11" s="242">
        <f t="shared" si="28"/>
        <v>9.0245355740511027E-2</v>
      </c>
      <c r="AO11" s="240">
        <f t="shared" si="29"/>
        <v>0.95153057808353936</v>
      </c>
      <c r="AP11" s="84">
        <f t="shared" si="30"/>
        <v>0</v>
      </c>
      <c r="AQ11" s="84">
        <f>IF(AP11="","",IF(OR(AP11=1,IF(ISNA(MATCH("מוגן",$I11:AP11,0)),FALSE,TRUE)),1,0))</f>
        <v>0</v>
      </c>
      <c r="AR11" s="241">
        <f t="shared" si="31"/>
        <v>9.0245355740511027E-2</v>
      </c>
      <c r="AS11" s="241" t="str">
        <f t="shared" si="32"/>
        <v>סיום</v>
      </c>
      <c r="AT11" s="242">
        <f t="shared" si="33"/>
        <v>9.0245355740511027E-2</v>
      </c>
      <c r="AU11" s="240">
        <f t="shared" si="34"/>
        <v>0.95153057808353936</v>
      </c>
      <c r="AV11" s="84">
        <f t="shared" si="35"/>
        <v>0</v>
      </c>
      <c r="AW11" s="84">
        <f>IF(AV11="","",IF(OR(AV11=1,IF(ISNA(MATCH("מוגן",$I11:AV11,0)),FALSE,TRUE)),1,0))</f>
        <v>0</v>
      </c>
      <c r="AX11" s="241">
        <f t="shared" si="36"/>
        <v>9.0245355740511027E-2</v>
      </c>
      <c r="AY11" s="241" t="str">
        <f t="shared" si="37"/>
        <v>סיום</v>
      </c>
      <c r="AZ11" s="242">
        <f t="shared" si="38"/>
        <v>9.0245355740511027E-2</v>
      </c>
      <c r="BA11" s="240">
        <f t="shared" si="39"/>
        <v>0.95153057808353936</v>
      </c>
      <c r="BB11" s="84">
        <f t="shared" si="40"/>
        <v>0</v>
      </c>
      <c r="BC11" s="84">
        <f>IF(BB11="","",IF(OR(BB11=1,IF(ISNA(MATCH("מוגן",$I11:BB11,0)),FALSE,TRUE)),1,0))</f>
        <v>0</v>
      </c>
      <c r="BD11" s="241">
        <f t="shared" si="41"/>
        <v>9.0245355740511027E-2</v>
      </c>
      <c r="BE11" s="241" t="str">
        <f t="shared" si="42"/>
        <v>סיום</v>
      </c>
      <c r="BF11" s="242">
        <f t="shared" si="43"/>
        <v>9.0245355740511027E-2</v>
      </c>
      <c r="BG11" s="240">
        <f t="shared" si="44"/>
        <v>0.95153057808353936</v>
      </c>
      <c r="BH11" s="84">
        <f t="shared" si="45"/>
        <v>0</v>
      </c>
      <c r="BI11" s="84">
        <f>IF(BH11="","",IF(OR(BH11=1,IF(ISNA(MATCH("מוגן",$I11:BH11,0)),FALSE,TRUE)),1,0))</f>
        <v>0</v>
      </c>
      <c r="BJ11" s="241">
        <f t="shared" si="46"/>
        <v>9.0245355740511027E-2</v>
      </c>
      <c r="BK11" s="241" t="str">
        <f t="shared" si="47"/>
        <v>סיום</v>
      </c>
      <c r="BL11" s="242">
        <f t="shared" si="48"/>
        <v>9.0245355740511027E-2</v>
      </c>
      <c r="BM11" s="240">
        <f t="shared" si="49"/>
        <v>0.95153057808353936</v>
      </c>
      <c r="BN11" s="84">
        <f t="shared" si="50"/>
        <v>0</v>
      </c>
      <c r="BO11" s="84">
        <f>IF(BN11="","",IF(OR(BN11=1,IF(ISNA(MATCH("מוגן",$I11:BN11,0)),FALSE,TRUE)),1,0))</f>
        <v>0</v>
      </c>
      <c r="BP11" s="241">
        <f t="shared" si="51"/>
        <v>9.0245355740511027E-2</v>
      </c>
      <c r="BQ11" s="241" t="str">
        <f t="shared" si="52"/>
        <v>סיום</v>
      </c>
      <c r="BR11" s="242">
        <f t="shared" si="53"/>
        <v>9.0245355740511027E-2</v>
      </c>
      <c r="BS11" s="240">
        <f t="shared" si="54"/>
        <v>0.95153057808353936</v>
      </c>
      <c r="BT11" s="84">
        <f t="shared" si="55"/>
        <v>0</v>
      </c>
      <c r="BU11" s="84">
        <f>IF(BT11="","",IF(OR(BT11=1,IF(ISNA(MATCH("מוגן",$I11:BT11,0)),FALSE,TRUE)),1,0))</f>
        <v>0</v>
      </c>
      <c r="BV11" s="241">
        <f t="shared" si="56"/>
        <v>9.0245355740511027E-2</v>
      </c>
      <c r="BW11" s="241" t="str">
        <f t="shared" si="57"/>
        <v>סיום</v>
      </c>
      <c r="BX11" s="242">
        <f t="shared" si="58"/>
        <v>9.0245355740511027E-2</v>
      </c>
      <c r="BY11" s="240">
        <f t="shared" si="59"/>
        <v>0.95153057808353936</v>
      </c>
      <c r="BZ11" s="84">
        <f t="shared" si="60"/>
        <v>0</v>
      </c>
      <c r="CA11" s="84">
        <f>IF(BZ11="","",IF(OR(BZ11=1,IF(ISNA(MATCH("מוגן",$I11:BZ11,0)),FALSE,TRUE)),1,0))</f>
        <v>0</v>
      </c>
      <c r="CB11" s="241">
        <f t="shared" si="61"/>
        <v>9.0245355740511027E-2</v>
      </c>
      <c r="CC11" s="241" t="str">
        <f t="shared" si="62"/>
        <v>סיום</v>
      </c>
      <c r="CD11" s="242">
        <f t="shared" si="63"/>
        <v>9.0245355740511027E-2</v>
      </c>
      <c r="CE11" s="240">
        <f t="shared" si="64"/>
        <v>0.95153057808353936</v>
      </c>
      <c r="CF11" s="84">
        <f t="shared" si="65"/>
        <v>0</v>
      </c>
      <c r="CG11" s="84">
        <f>IF(CF11="","",IF(OR(CF11=1,IF(ISNA(MATCH("מוגן",$I11:CF11,0)),FALSE,TRUE)),1,0))</f>
        <v>0</v>
      </c>
      <c r="CH11" s="241">
        <f t="shared" si="66"/>
        <v>9.0245355740511027E-2</v>
      </c>
      <c r="CI11" s="241" t="str">
        <f t="shared" si="67"/>
        <v>סיום</v>
      </c>
      <c r="CJ11" s="242">
        <f t="shared" si="68"/>
        <v>9.0245355740511027E-2</v>
      </c>
      <c r="CK11" s="240">
        <f t="shared" si="69"/>
        <v>0.95153057808353936</v>
      </c>
      <c r="CL11" s="84">
        <f t="shared" si="70"/>
        <v>0</v>
      </c>
      <c r="CM11" s="84">
        <f>IF(CL11="","",IF(OR(CL11=1,IF(ISNA(MATCH("מוגן",$I11:CL11,0)),FALSE,TRUE)),1,0))</f>
        <v>0</v>
      </c>
      <c r="CN11" s="241">
        <f t="shared" si="71"/>
        <v>9.0245355740511027E-2</v>
      </c>
      <c r="CO11" s="241" t="str">
        <f t="shared" si="72"/>
        <v>סיום</v>
      </c>
      <c r="CP11" s="242">
        <f t="shared" si="73"/>
        <v>9.0245355740511027E-2</v>
      </c>
      <c r="CQ11" s="240">
        <f t="shared" si="74"/>
        <v>0.95153057808353936</v>
      </c>
      <c r="CR11" s="84">
        <f t="shared" si="75"/>
        <v>0</v>
      </c>
      <c r="CS11" s="84">
        <f>IF(CR11="","",IF(OR(CR11=1,IF(ISNA(MATCH("מוגן",$I11:CR11,0)),FALSE,TRUE)),1,0))</f>
        <v>0</v>
      </c>
      <c r="CT11" s="241">
        <f t="shared" si="76"/>
        <v>9.0245355740511027E-2</v>
      </c>
      <c r="CU11" s="241" t="str">
        <f t="shared" si="77"/>
        <v>סיום</v>
      </c>
      <c r="CV11" s="242">
        <f t="shared" si="78"/>
        <v>9.0245355740511027E-2</v>
      </c>
      <c r="CW11" s="240">
        <f t="shared" si="79"/>
        <v>0.95153057808353936</v>
      </c>
      <c r="CX11" s="84">
        <f t="shared" si="80"/>
        <v>0</v>
      </c>
      <c r="CY11" s="84">
        <f>IF(CX11="","",IF(OR(CX11=1,IF(ISNA(MATCH("מוגן",$I11:CX11,0)),FALSE,TRUE)),1,0))</f>
        <v>0</v>
      </c>
      <c r="CZ11" s="241">
        <f t="shared" si="81"/>
        <v>9.0245355740511027E-2</v>
      </c>
      <c r="DA11" s="241" t="str">
        <f t="shared" si="82"/>
        <v>סיום</v>
      </c>
      <c r="DB11" s="242">
        <f t="shared" si="83"/>
        <v>9.0245355740511027E-2</v>
      </c>
      <c r="DC11" s="240">
        <f t="shared" si="84"/>
        <v>0.95153057808353936</v>
      </c>
      <c r="DD11" s="84">
        <f t="shared" si="85"/>
        <v>0</v>
      </c>
      <c r="DE11" s="84">
        <f>IF(DD11="","",IF(OR(DD11=1,IF(ISNA(MATCH("מוגן",$I11:DD11,0)),FALSE,TRUE)),1,0))</f>
        <v>0</v>
      </c>
      <c r="DF11" s="241">
        <f t="shared" si="86"/>
        <v>9.0245355740511027E-2</v>
      </c>
      <c r="DG11" s="241" t="str">
        <f t="shared" si="87"/>
        <v>סיום</v>
      </c>
      <c r="DH11" s="242">
        <f t="shared" si="88"/>
        <v>9.0245355740511027E-2</v>
      </c>
      <c r="DI11" s="240">
        <f t="shared" si="89"/>
        <v>0.95153057808353936</v>
      </c>
      <c r="DJ11" s="84">
        <f t="shared" si="90"/>
        <v>0</v>
      </c>
      <c r="DK11" s="84">
        <f>IF(DJ11="","",IF(OR(DJ11=1,IF(ISNA(MATCH("מוגן",$I11:DJ11,0)),FALSE,TRUE)),1,0))</f>
        <v>0</v>
      </c>
      <c r="DL11" s="241">
        <f t="shared" si="91"/>
        <v>9.0245355740511027E-2</v>
      </c>
      <c r="DM11" s="241" t="str">
        <f t="shared" si="92"/>
        <v>סיום</v>
      </c>
      <c r="DN11" s="242">
        <f t="shared" si="93"/>
        <v>9.0245355740511027E-2</v>
      </c>
      <c r="DO11" s="240">
        <f t="shared" si="94"/>
        <v>0.95153057808353936</v>
      </c>
      <c r="DP11" s="84">
        <f t="shared" si="95"/>
        <v>0</v>
      </c>
      <c r="DQ11" s="84">
        <f>IF(DP11="","",IF(OR(DP11=1,IF(ISNA(MATCH("מוגן",$I11:DP11,0)),FALSE,TRUE)),1,0))</f>
        <v>0</v>
      </c>
      <c r="DR11" s="241">
        <f t="shared" si="96"/>
        <v>9.0245355740511027E-2</v>
      </c>
      <c r="DS11" s="241" t="str">
        <f t="shared" si="97"/>
        <v>סיום</v>
      </c>
      <c r="DT11" s="242">
        <f t="shared" si="98"/>
        <v>9.0245355740511027E-2</v>
      </c>
      <c r="DU11" s="240">
        <f t="shared" si="99"/>
        <v>0.95153057808353936</v>
      </c>
      <c r="DV11" s="84">
        <f t="shared" si="100"/>
        <v>0</v>
      </c>
      <c r="DW11" s="84">
        <f>IF(DV11="","",IF(OR(DV11=1,IF(ISNA(MATCH("מוגן",$I11:DV11,0)),FALSE,TRUE)),1,0))</f>
        <v>0</v>
      </c>
      <c r="DX11" s="241">
        <f t="shared" si="101"/>
        <v>9.0245355740511027E-2</v>
      </c>
      <c r="DY11" s="241" t="str">
        <f t="shared" si="102"/>
        <v>סיום</v>
      </c>
      <c r="DZ11" s="242">
        <f t="shared" si="103"/>
        <v>9.0245355740511027E-2</v>
      </c>
      <c r="EA11" s="240">
        <f t="shared" si="104"/>
        <v>0.95153057808353936</v>
      </c>
      <c r="EB11" s="84">
        <f t="shared" si="105"/>
        <v>0</v>
      </c>
      <c r="EC11" s="84">
        <f>IF(EB11="","",IF(OR(EB11=1,IF(ISNA(MATCH("מוגן",$I11:EB11,0)),FALSE,TRUE)),1,0))</f>
        <v>0</v>
      </c>
      <c r="ED11" s="241">
        <f t="shared" si="106"/>
        <v>9.0245355740511027E-2</v>
      </c>
      <c r="EE11" s="241" t="str">
        <f t="shared" si="107"/>
        <v>סיום</v>
      </c>
      <c r="EF11" s="242">
        <f t="shared" si="108"/>
        <v>9.0245355740511027E-2</v>
      </c>
      <c r="EG11" s="240">
        <f t="shared" si="109"/>
        <v>0.95153057808353936</v>
      </c>
      <c r="EH11" s="84">
        <f t="shared" si="110"/>
        <v>0</v>
      </c>
      <c r="EI11" s="84">
        <f>IF(EH11="","",IF(OR(EH11=1,IF(ISNA(MATCH("מוגן",$I11:EH11,0)),FALSE,TRUE)),1,0))</f>
        <v>0</v>
      </c>
      <c r="EJ11" s="241">
        <f t="shared" si="111"/>
        <v>9.0245355740511027E-2</v>
      </c>
      <c r="EK11" s="241" t="str">
        <f t="shared" si="112"/>
        <v>סיום</v>
      </c>
      <c r="EL11" s="242">
        <f t="shared" si="113"/>
        <v>9.0245355740511027E-2</v>
      </c>
      <c r="EM11" s="240">
        <f t="shared" si="114"/>
        <v>0.95153057808353936</v>
      </c>
      <c r="EN11" s="84">
        <f t="shared" si="115"/>
        <v>0</v>
      </c>
      <c r="EO11" s="84">
        <f>IF(EN11="","",IF(OR(EN11=1,IF(ISNA(MATCH("מוגן",$I11:EN11,0)),FALSE,TRUE)),1,0))</f>
        <v>0</v>
      </c>
      <c r="EP11" s="241">
        <f t="shared" si="116"/>
        <v>9.0245355740511027E-2</v>
      </c>
      <c r="EQ11" s="241" t="str">
        <f t="shared" si="117"/>
        <v>סיום</v>
      </c>
      <c r="ER11" s="242">
        <f t="shared" si="118"/>
        <v>9.0245355740511027E-2</v>
      </c>
      <c r="ES11" s="240">
        <f t="shared" si="119"/>
        <v>0.95153057808353936</v>
      </c>
      <c r="ET11" s="84">
        <f t="shared" si="120"/>
        <v>0</v>
      </c>
      <c r="EU11" s="84">
        <f>IF(ET11="","",IF(OR(ET11=1,IF(ISNA(MATCH("מוגן",$I11:ET11,0)),FALSE,TRUE)),1,0))</f>
        <v>0</v>
      </c>
      <c r="EV11" s="241">
        <f t="shared" si="121"/>
        <v>9.0245355740511027E-2</v>
      </c>
      <c r="EW11" s="241" t="str">
        <f t="shared" si="122"/>
        <v>סיום</v>
      </c>
      <c r="EX11" s="242">
        <f t="shared" si="123"/>
        <v>9.0245355740511027E-2</v>
      </c>
      <c r="EY11" s="240">
        <f t="shared" si="124"/>
        <v>0.95153057808353936</v>
      </c>
      <c r="EZ11" s="84">
        <f t="shared" si="125"/>
        <v>0</v>
      </c>
      <c r="FA11" s="84">
        <f>IF(EZ11="","",IF(OR(EZ11=1,IF(ISNA(MATCH("מוגן",$I11:EZ11,0)),FALSE,TRUE)),1,0))</f>
        <v>0</v>
      </c>
      <c r="FB11" s="241">
        <f t="shared" si="126"/>
        <v>9.0245355740511027E-2</v>
      </c>
      <c r="FC11" s="241" t="str">
        <f t="shared" si="127"/>
        <v>סיום</v>
      </c>
      <c r="FD11" s="242">
        <f t="shared" si="128"/>
        <v>9.0245355740511027E-2</v>
      </c>
      <c r="FE11" s="240">
        <f t="shared" si="129"/>
        <v>0.95153057808353936</v>
      </c>
      <c r="FF11" s="84">
        <f t="shared" si="130"/>
        <v>0</v>
      </c>
      <c r="FG11" s="84">
        <f>IF(FF11="","",IF(OR(FF11=1,IF(ISNA(MATCH("מוגן",$I11:FF11,0)),FALSE,TRUE)),1,0))</f>
        <v>0</v>
      </c>
      <c r="FH11" s="241">
        <f t="shared" si="131"/>
        <v>9.0245355740511027E-2</v>
      </c>
      <c r="FI11" s="241" t="str">
        <f t="shared" si="132"/>
        <v>סיום</v>
      </c>
      <c r="FJ11" s="242">
        <f t="shared" si="133"/>
        <v>9.0245355740511027E-2</v>
      </c>
      <c r="FK11" s="240">
        <f t="shared" si="134"/>
        <v>0.95153057808353936</v>
      </c>
      <c r="FL11" s="84">
        <f t="shared" si="135"/>
        <v>0</v>
      </c>
      <c r="FM11" s="84">
        <f>IF(FL11="","",IF(OR(FL11=1,IF(ISNA(MATCH("מוגן",$I11:FL11,0)),FALSE,TRUE)),1,0))</f>
        <v>0</v>
      </c>
      <c r="FN11" s="241">
        <f t="shared" si="136"/>
        <v>9.0245355740511027E-2</v>
      </c>
      <c r="FO11" s="241" t="str">
        <f t="shared" si="137"/>
        <v>סיום</v>
      </c>
      <c r="FP11" s="242">
        <f t="shared" si="138"/>
        <v>9.0245355740511027E-2</v>
      </c>
      <c r="FQ11" s="240">
        <f t="shared" si="139"/>
        <v>0.95153057808353936</v>
      </c>
      <c r="FR11" s="84">
        <f t="shared" si="140"/>
        <v>0</v>
      </c>
      <c r="FS11" s="84">
        <f>IF(FR11="","",IF(OR(FR11=1,IF(ISNA(MATCH("מוגן",$I11:FR11,0)),FALSE,TRUE)),1,0))</f>
        <v>0</v>
      </c>
      <c r="FT11" s="241">
        <f t="shared" si="141"/>
        <v>9.0245355740511027E-2</v>
      </c>
      <c r="FU11" s="241" t="str">
        <f t="shared" si="142"/>
        <v>סיום</v>
      </c>
      <c r="FV11" s="242">
        <f t="shared" si="143"/>
        <v>9.0245355740511027E-2</v>
      </c>
      <c r="FW11" s="240">
        <f t="shared" si="144"/>
        <v>0.95153057808353936</v>
      </c>
      <c r="FX11" s="84">
        <f t="shared" si="145"/>
        <v>0</v>
      </c>
      <c r="FY11" s="84">
        <f>IF(FX11="","",IF(OR(FX11=1,IF(ISNA(MATCH("מוגן",$I11:FX11,0)),FALSE,TRUE)),1,0))</f>
        <v>0</v>
      </c>
      <c r="FZ11" s="241">
        <f t="shared" si="146"/>
        <v>9.0245355740511027E-2</v>
      </c>
      <c r="GA11" s="241" t="str">
        <f t="shared" si="147"/>
        <v>סיום</v>
      </c>
      <c r="GB11" s="242">
        <f t="shared" si="148"/>
        <v>9.0245355740511027E-2</v>
      </c>
      <c r="GC11" s="240">
        <f t="shared" si="149"/>
        <v>0.95153057808353936</v>
      </c>
      <c r="GD11" s="84">
        <f t="shared" si="150"/>
        <v>0</v>
      </c>
      <c r="GE11" s="84">
        <f>IF(GD11="","",IF(OR(GD11=1,IF(ISNA(MATCH("מוגן",$I11:GD11,0)),FALSE,TRUE)),1,0))</f>
        <v>0</v>
      </c>
      <c r="GF11" s="241">
        <f t="shared" si="151"/>
        <v>9.0245355740511027E-2</v>
      </c>
      <c r="GG11" s="241" t="str">
        <f t="shared" si="152"/>
        <v>סיום</v>
      </c>
      <c r="GH11" s="242">
        <f t="shared" si="153"/>
        <v>9.0245355740511027E-2</v>
      </c>
      <c r="GI11" s="240">
        <f t="shared" si="154"/>
        <v>0.95153057808353936</v>
      </c>
      <c r="GJ11" s="84">
        <f t="shared" si="155"/>
        <v>0</v>
      </c>
      <c r="GK11" s="84">
        <f>IF(GJ11="","",IF(OR(GJ11=1,IF(ISNA(MATCH("מוגן",$I11:GJ11,0)),FALSE,TRUE)),1,0))</f>
        <v>0</v>
      </c>
      <c r="GL11" s="241">
        <f t="shared" si="156"/>
        <v>9.0245355740511027E-2</v>
      </c>
      <c r="GM11" s="241" t="str">
        <f t="shared" si="157"/>
        <v>סיום</v>
      </c>
      <c r="GN11" s="242">
        <f t="shared" si="158"/>
        <v>9.0245355740511027E-2</v>
      </c>
      <c r="GO11" s="240">
        <f t="shared" si="159"/>
        <v>0.95153057808353936</v>
      </c>
      <c r="GP11" s="84">
        <f t="shared" si="160"/>
        <v>0</v>
      </c>
      <c r="GQ11" s="84">
        <f>IF(GP11="","",IF(OR(GP11=1,IF(ISNA(MATCH("מוגן",$I11:GP11,0)),FALSE,TRUE)),1,0))</f>
        <v>0</v>
      </c>
      <c r="GR11" s="241">
        <f t="shared" si="161"/>
        <v>9.0245355740511027E-2</v>
      </c>
      <c r="GS11" s="241" t="str">
        <f t="shared" si="162"/>
        <v>סיום</v>
      </c>
      <c r="GT11" s="242">
        <f t="shared" si="163"/>
        <v>9.0245355740511027E-2</v>
      </c>
      <c r="GU11" s="240">
        <f t="shared" si="164"/>
        <v>0.95153057808353936</v>
      </c>
      <c r="GV11" s="84">
        <f t="shared" si="165"/>
        <v>0</v>
      </c>
      <c r="GW11" s="84">
        <f>IF(GV11="","",IF(OR(GV11=1,IF(ISNA(MATCH("מוגן",$I11:GV11,0)),FALSE,TRUE)),1,0))</f>
        <v>0</v>
      </c>
      <c r="GX11" s="241">
        <f t="shared" si="166"/>
        <v>9.0245355740511027E-2</v>
      </c>
      <c r="GY11" s="241" t="str">
        <f t="shared" si="167"/>
        <v>סיום</v>
      </c>
      <c r="GZ11" s="242">
        <f t="shared" si="168"/>
        <v>9.0245355740511027E-2</v>
      </c>
      <c r="HA11" s="119">
        <f t="shared" si="169"/>
        <v>8918227.8986691162</v>
      </c>
      <c r="HB11" s="246" t="str">
        <f t="shared" si="170"/>
        <v>OK</v>
      </c>
      <c r="HC11" s="244">
        <f t="shared" si="171"/>
        <v>0.95153057808353936</v>
      </c>
      <c r="HD11" s="245">
        <f t="shared" si="172"/>
        <v>9.0245355740511027E-2</v>
      </c>
      <c r="HE11" s="111">
        <f t="shared" si="173"/>
        <v>0</v>
      </c>
      <c r="HF11" s="111">
        <f t="shared" si="174"/>
        <v>1</v>
      </c>
      <c r="HG11" s="111" t="b">
        <f>OR(B11="",ISNA(MATCH(C11,{0,1},0)))</f>
        <v>0</v>
      </c>
    </row>
    <row r="12" spans="1:215">
      <c r="A12" s="120">
        <f>ייצוב!A8</f>
        <v>4</v>
      </c>
      <c r="B12" s="121" t="str">
        <f>ייצוב!B8</f>
        <v>חיפה</v>
      </c>
      <c r="C12" s="67"/>
      <c r="D12" s="240">
        <f>ייצוב!E8</f>
        <v>5.7617105105136693E-2</v>
      </c>
      <c r="E12" s="240">
        <f>ייצוב!G8</f>
        <v>6.0300471484172231E-2</v>
      </c>
      <c r="F12" s="240">
        <f t="shared" si="0"/>
        <v>1.0465723915517635</v>
      </c>
      <c r="G12" s="84">
        <f t="shared" si="1"/>
        <v>0</v>
      </c>
      <c r="H12" s="241">
        <f t="shared" si="2"/>
        <v>6.0300471484172231E-2</v>
      </c>
      <c r="I12" s="241">
        <f t="array" ref="I12">IF(H12="","",IF(G12=1,"מוגן",H12/SUMIF(G$9:G$41,"=0",H$9:H$41)))</f>
        <v>6.0300471484172231E-2</v>
      </c>
      <c r="J12" s="242">
        <f t="shared" si="3"/>
        <v>6.0300471484172231E-2</v>
      </c>
      <c r="K12" s="240">
        <f t="shared" si="4"/>
        <v>1.0465723915517635</v>
      </c>
      <c r="L12" s="84">
        <f t="shared" si="5"/>
        <v>0</v>
      </c>
      <c r="M12" s="84">
        <f>IF(L12="","",IF(OR(L12=1,IF(ISNA(MATCH("מוגן",$I12:L12,0)),FALSE,TRUE)),1,0))</f>
        <v>0</v>
      </c>
      <c r="N12" s="241">
        <f t="shared" si="6"/>
        <v>6.0300471484172231E-2</v>
      </c>
      <c r="O12" s="241" t="str">
        <f t="shared" si="7"/>
        <v>סיום</v>
      </c>
      <c r="P12" s="242">
        <f t="shared" si="8"/>
        <v>6.0300471484172231E-2</v>
      </c>
      <c r="Q12" s="240">
        <f t="shared" si="9"/>
        <v>1.0465723915517635</v>
      </c>
      <c r="R12" s="84">
        <f t="shared" si="10"/>
        <v>0</v>
      </c>
      <c r="S12" s="84">
        <f>IF(R12="","",IF(OR(R12=1,IF(ISNA(MATCH("מוגן",$I12:R12,0)),FALSE,TRUE)),1,0))</f>
        <v>0</v>
      </c>
      <c r="T12" s="241">
        <f t="shared" si="11"/>
        <v>6.0300471484172231E-2</v>
      </c>
      <c r="U12" s="241" t="str">
        <f t="shared" si="12"/>
        <v>סיום</v>
      </c>
      <c r="V12" s="242">
        <f t="shared" si="13"/>
        <v>6.0300471484172231E-2</v>
      </c>
      <c r="W12" s="240">
        <f t="shared" si="14"/>
        <v>1.0465723915517635</v>
      </c>
      <c r="X12" s="84">
        <f t="shared" si="15"/>
        <v>0</v>
      </c>
      <c r="Y12" s="84">
        <f>IF(X12="","",IF(OR(X12=1,IF(ISNA(MATCH("מוגן",$I12:X12,0)),FALSE,TRUE)),1,0))</f>
        <v>0</v>
      </c>
      <c r="Z12" s="241">
        <f t="shared" si="16"/>
        <v>6.0300471484172231E-2</v>
      </c>
      <c r="AA12" s="241" t="str">
        <f t="shared" si="17"/>
        <v>סיום</v>
      </c>
      <c r="AB12" s="242">
        <f t="shared" si="18"/>
        <v>6.0300471484172231E-2</v>
      </c>
      <c r="AC12" s="240">
        <f t="shared" si="19"/>
        <v>1.0465723915517635</v>
      </c>
      <c r="AD12" s="84">
        <f t="shared" si="20"/>
        <v>0</v>
      </c>
      <c r="AE12" s="84">
        <f>IF(AD12="","",IF(OR(AD12=1,IF(ISNA(MATCH("מוגן",$I12:AD12,0)),FALSE,TRUE)),1,0))</f>
        <v>0</v>
      </c>
      <c r="AF12" s="241">
        <f t="shared" si="21"/>
        <v>6.0300471484172231E-2</v>
      </c>
      <c r="AG12" s="241" t="str">
        <f t="shared" si="22"/>
        <v>סיום</v>
      </c>
      <c r="AH12" s="242">
        <f t="shared" si="23"/>
        <v>6.0300471484172231E-2</v>
      </c>
      <c r="AI12" s="240">
        <f t="shared" si="24"/>
        <v>1.0465723915517635</v>
      </c>
      <c r="AJ12" s="84">
        <f t="shared" si="25"/>
        <v>0</v>
      </c>
      <c r="AK12" s="84">
        <f>IF(AJ12="","",IF(OR(AJ12=1,IF(ISNA(MATCH("מוגן",$I12:AJ12,0)),FALSE,TRUE)),1,0))</f>
        <v>0</v>
      </c>
      <c r="AL12" s="241">
        <f t="shared" si="26"/>
        <v>6.0300471484172231E-2</v>
      </c>
      <c r="AM12" s="241" t="str">
        <f t="shared" si="27"/>
        <v>סיום</v>
      </c>
      <c r="AN12" s="242">
        <f t="shared" si="28"/>
        <v>6.0300471484172231E-2</v>
      </c>
      <c r="AO12" s="240">
        <f t="shared" si="29"/>
        <v>1.0465723915517635</v>
      </c>
      <c r="AP12" s="84">
        <f t="shared" si="30"/>
        <v>0</v>
      </c>
      <c r="AQ12" s="84">
        <f>IF(AP12="","",IF(OR(AP12=1,IF(ISNA(MATCH("מוגן",$I12:AP12,0)),FALSE,TRUE)),1,0))</f>
        <v>0</v>
      </c>
      <c r="AR12" s="241">
        <f t="shared" si="31"/>
        <v>6.0300471484172231E-2</v>
      </c>
      <c r="AS12" s="241" t="str">
        <f t="shared" si="32"/>
        <v>סיום</v>
      </c>
      <c r="AT12" s="242">
        <f t="shared" si="33"/>
        <v>6.0300471484172231E-2</v>
      </c>
      <c r="AU12" s="240">
        <f t="shared" si="34"/>
        <v>1.0465723915517635</v>
      </c>
      <c r="AV12" s="84">
        <f t="shared" si="35"/>
        <v>0</v>
      </c>
      <c r="AW12" s="84">
        <f>IF(AV12="","",IF(OR(AV12=1,IF(ISNA(MATCH("מוגן",$I12:AV12,0)),FALSE,TRUE)),1,0))</f>
        <v>0</v>
      </c>
      <c r="AX12" s="241">
        <f t="shared" si="36"/>
        <v>6.0300471484172231E-2</v>
      </c>
      <c r="AY12" s="241" t="str">
        <f t="shared" si="37"/>
        <v>סיום</v>
      </c>
      <c r="AZ12" s="242">
        <f t="shared" si="38"/>
        <v>6.0300471484172231E-2</v>
      </c>
      <c r="BA12" s="240">
        <f t="shared" si="39"/>
        <v>1.0465723915517635</v>
      </c>
      <c r="BB12" s="84">
        <f t="shared" si="40"/>
        <v>0</v>
      </c>
      <c r="BC12" s="84">
        <f>IF(BB12="","",IF(OR(BB12=1,IF(ISNA(MATCH("מוגן",$I12:BB12,0)),FALSE,TRUE)),1,0))</f>
        <v>0</v>
      </c>
      <c r="BD12" s="241">
        <f t="shared" si="41"/>
        <v>6.0300471484172231E-2</v>
      </c>
      <c r="BE12" s="241" t="str">
        <f t="shared" si="42"/>
        <v>סיום</v>
      </c>
      <c r="BF12" s="242">
        <f t="shared" si="43"/>
        <v>6.0300471484172231E-2</v>
      </c>
      <c r="BG12" s="240">
        <f t="shared" si="44"/>
        <v>1.0465723915517635</v>
      </c>
      <c r="BH12" s="84">
        <f t="shared" si="45"/>
        <v>0</v>
      </c>
      <c r="BI12" s="84">
        <f>IF(BH12="","",IF(OR(BH12=1,IF(ISNA(MATCH("מוגן",$I12:BH12,0)),FALSE,TRUE)),1,0))</f>
        <v>0</v>
      </c>
      <c r="BJ12" s="241">
        <f t="shared" si="46"/>
        <v>6.0300471484172231E-2</v>
      </c>
      <c r="BK12" s="241" t="str">
        <f t="shared" si="47"/>
        <v>סיום</v>
      </c>
      <c r="BL12" s="242">
        <f t="shared" si="48"/>
        <v>6.0300471484172231E-2</v>
      </c>
      <c r="BM12" s="240">
        <f t="shared" si="49"/>
        <v>1.0465723915517635</v>
      </c>
      <c r="BN12" s="84">
        <f t="shared" si="50"/>
        <v>0</v>
      </c>
      <c r="BO12" s="84">
        <f>IF(BN12="","",IF(OR(BN12=1,IF(ISNA(MATCH("מוגן",$I12:BN12,0)),FALSE,TRUE)),1,0))</f>
        <v>0</v>
      </c>
      <c r="BP12" s="241">
        <f t="shared" si="51"/>
        <v>6.0300471484172231E-2</v>
      </c>
      <c r="BQ12" s="241" t="str">
        <f t="shared" si="52"/>
        <v>סיום</v>
      </c>
      <c r="BR12" s="242">
        <f t="shared" si="53"/>
        <v>6.0300471484172231E-2</v>
      </c>
      <c r="BS12" s="240">
        <f t="shared" si="54"/>
        <v>1.0465723915517635</v>
      </c>
      <c r="BT12" s="84">
        <f t="shared" si="55"/>
        <v>0</v>
      </c>
      <c r="BU12" s="84">
        <f>IF(BT12="","",IF(OR(BT12=1,IF(ISNA(MATCH("מוגן",$I12:BT12,0)),FALSE,TRUE)),1,0))</f>
        <v>0</v>
      </c>
      <c r="BV12" s="241">
        <f t="shared" si="56"/>
        <v>6.0300471484172231E-2</v>
      </c>
      <c r="BW12" s="241" t="str">
        <f t="shared" si="57"/>
        <v>סיום</v>
      </c>
      <c r="BX12" s="242">
        <f t="shared" si="58"/>
        <v>6.0300471484172231E-2</v>
      </c>
      <c r="BY12" s="240">
        <f t="shared" si="59"/>
        <v>1.0465723915517635</v>
      </c>
      <c r="BZ12" s="84">
        <f t="shared" si="60"/>
        <v>0</v>
      </c>
      <c r="CA12" s="84">
        <f>IF(BZ12="","",IF(OR(BZ12=1,IF(ISNA(MATCH("מוגן",$I12:BZ12,0)),FALSE,TRUE)),1,0))</f>
        <v>0</v>
      </c>
      <c r="CB12" s="241">
        <f t="shared" si="61"/>
        <v>6.0300471484172231E-2</v>
      </c>
      <c r="CC12" s="241" t="str">
        <f t="shared" si="62"/>
        <v>סיום</v>
      </c>
      <c r="CD12" s="242">
        <f t="shared" si="63"/>
        <v>6.0300471484172231E-2</v>
      </c>
      <c r="CE12" s="240">
        <f t="shared" si="64"/>
        <v>1.0465723915517635</v>
      </c>
      <c r="CF12" s="84">
        <f t="shared" si="65"/>
        <v>0</v>
      </c>
      <c r="CG12" s="84">
        <f>IF(CF12="","",IF(OR(CF12=1,IF(ISNA(MATCH("מוגן",$I12:CF12,0)),FALSE,TRUE)),1,0))</f>
        <v>0</v>
      </c>
      <c r="CH12" s="241">
        <f t="shared" si="66"/>
        <v>6.0300471484172231E-2</v>
      </c>
      <c r="CI12" s="241" t="str">
        <f t="shared" si="67"/>
        <v>סיום</v>
      </c>
      <c r="CJ12" s="242">
        <f t="shared" si="68"/>
        <v>6.0300471484172231E-2</v>
      </c>
      <c r="CK12" s="240">
        <f t="shared" si="69"/>
        <v>1.0465723915517635</v>
      </c>
      <c r="CL12" s="84">
        <f t="shared" si="70"/>
        <v>0</v>
      </c>
      <c r="CM12" s="84">
        <f>IF(CL12="","",IF(OR(CL12=1,IF(ISNA(MATCH("מוגן",$I12:CL12,0)),FALSE,TRUE)),1,0))</f>
        <v>0</v>
      </c>
      <c r="CN12" s="241">
        <f t="shared" si="71"/>
        <v>6.0300471484172231E-2</v>
      </c>
      <c r="CO12" s="241" t="str">
        <f t="shared" si="72"/>
        <v>סיום</v>
      </c>
      <c r="CP12" s="242">
        <f t="shared" si="73"/>
        <v>6.0300471484172231E-2</v>
      </c>
      <c r="CQ12" s="240">
        <f t="shared" si="74"/>
        <v>1.0465723915517635</v>
      </c>
      <c r="CR12" s="84">
        <f t="shared" si="75"/>
        <v>0</v>
      </c>
      <c r="CS12" s="84">
        <f>IF(CR12="","",IF(OR(CR12=1,IF(ISNA(MATCH("מוגן",$I12:CR12,0)),FALSE,TRUE)),1,0))</f>
        <v>0</v>
      </c>
      <c r="CT12" s="241">
        <f t="shared" si="76"/>
        <v>6.0300471484172231E-2</v>
      </c>
      <c r="CU12" s="241" t="str">
        <f t="shared" si="77"/>
        <v>סיום</v>
      </c>
      <c r="CV12" s="242">
        <f t="shared" si="78"/>
        <v>6.0300471484172231E-2</v>
      </c>
      <c r="CW12" s="240">
        <f t="shared" si="79"/>
        <v>1.0465723915517635</v>
      </c>
      <c r="CX12" s="84">
        <f t="shared" si="80"/>
        <v>0</v>
      </c>
      <c r="CY12" s="84">
        <f>IF(CX12="","",IF(OR(CX12=1,IF(ISNA(MATCH("מוגן",$I12:CX12,0)),FALSE,TRUE)),1,0))</f>
        <v>0</v>
      </c>
      <c r="CZ12" s="241">
        <f t="shared" si="81"/>
        <v>6.0300471484172231E-2</v>
      </c>
      <c r="DA12" s="241" t="str">
        <f t="shared" si="82"/>
        <v>סיום</v>
      </c>
      <c r="DB12" s="242">
        <f t="shared" si="83"/>
        <v>6.0300471484172231E-2</v>
      </c>
      <c r="DC12" s="240">
        <f t="shared" si="84"/>
        <v>1.0465723915517635</v>
      </c>
      <c r="DD12" s="84">
        <f t="shared" si="85"/>
        <v>0</v>
      </c>
      <c r="DE12" s="84">
        <f>IF(DD12="","",IF(OR(DD12=1,IF(ISNA(MATCH("מוגן",$I12:DD12,0)),FALSE,TRUE)),1,0))</f>
        <v>0</v>
      </c>
      <c r="DF12" s="241">
        <f t="shared" si="86"/>
        <v>6.0300471484172231E-2</v>
      </c>
      <c r="DG12" s="241" t="str">
        <f t="shared" si="87"/>
        <v>סיום</v>
      </c>
      <c r="DH12" s="242">
        <f t="shared" si="88"/>
        <v>6.0300471484172231E-2</v>
      </c>
      <c r="DI12" s="240">
        <f t="shared" si="89"/>
        <v>1.0465723915517635</v>
      </c>
      <c r="DJ12" s="84">
        <f t="shared" si="90"/>
        <v>0</v>
      </c>
      <c r="DK12" s="84">
        <f>IF(DJ12="","",IF(OR(DJ12=1,IF(ISNA(MATCH("מוגן",$I12:DJ12,0)),FALSE,TRUE)),1,0))</f>
        <v>0</v>
      </c>
      <c r="DL12" s="241">
        <f t="shared" si="91"/>
        <v>6.0300471484172231E-2</v>
      </c>
      <c r="DM12" s="241" t="str">
        <f t="shared" si="92"/>
        <v>סיום</v>
      </c>
      <c r="DN12" s="242">
        <f t="shared" si="93"/>
        <v>6.0300471484172231E-2</v>
      </c>
      <c r="DO12" s="240">
        <f t="shared" si="94"/>
        <v>1.0465723915517635</v>
      </c>
      <c r="DP12" s="84">
        <f t="shared" si="95"/>
        <v>0</v>
      </c>
      <c r="DQ12" s="84">
        <f>IF(DP12="","",IF(OR(DP12=1,IF(ISNA(MATCH("מוגן",$I12:DP12,0)),FALSE,TRUE)),1,0))</f>
        <v>0</v>
      </c>
      <c r="DR12" s="241">
        <f t="shared" si="96"/>
        <v>6.0300471484172231E-2</v>
      </c>
      <c r="DS12" s="241" t="str">
        <f t="shared" si="97"/>
        <v>סיום</v>
      </c>
      <c r="DT12" s="242">
        <f t="shared" si="98"/>
        <v>6.0300471484172231E-2</v>
      </c>
      <c r="DU12" s="240">
        <f t="shared" si="99"/>
        <v>1.0465723915517635</v>
      </c>
      <c r="DV12" s="84">
        <f t="shared" si="100"/>
        <v>0</v>
      </c>
      <c r="DW12" s="84">
        <f>IF(DV12="","",IF(OR(DV12=1,IF(ISNA(MATCH("מוגן",$I12:DV12,0)),FALSE,TRUE)),1,0))</f>
        <v>0</v>
      </c>
      <c r="DX12" s="241">
        <f t="shared" si="101"/>
        <v>6.0300471484172231E-2</v>
      </c>
      <c r="DY12" s="241" t="str">
        <f t="shared" si="102"/>
        <v>סיום</v>
      </c>
      <c r="DZ12" s="242">
        <f t="shared" si="103"/>
        <v>6.0300471484172231E-2</v>
      </c>
      <c r="EA12" s="240">
        <f t="shared" si="104"/>
        <v>1.0465723915517635</v>
      </c>
      <c r="EB12" s="84">
        <f t="shared" si="105"/>
        <v>0</v>
      </c>
      <c r="EC12" s="84">
        <f>IF(EB12="","",IF(OR(EB12=1,IF(ISNA(MATCH("מוגן",$I12:EB12,0)),FALSE,TRUE)),1,0))</f>
        <v>0</v>
      </c>
      <c r="ED12" s="241">
        <f t="shared" si="106"/>
        <v>6.0300471484172231E-2</v>
      </c>
      <c r="EE12" s="241" t="str">
        <f t="shared" si="107"/>
        <v>סיום</v>
      </c>
      <c r="EF12" s="242">
        <f t="shared" si="108"/>
        <v>6.0300471484172231E-2</v>
      </c>
      <c r="EG12" s="240">
        <f t="shared" si="109"/>
        <v>1.0465723915517635</v>
      </c>
      <c r="EH12" s="84">
        <f t="shared" si="110"/>
        <v>0</v>
      </c>
      <c r="EI12" s="84">
        <f>IF(EH12="","",IF(OR(EH12=1,IF(ISNA(MATCH("מוגן",$I12:EH12,0)),FALSE,TRUE)),1,0))</f>
        <v>0</v>
      </c>
      <c r="EJ12" s="241">
        <f t="shared" si="111"/>
        <v>6.0300471484172231E-2</v>
      </c>
      <c r="EK12" s="241" t="str">
        <f t="shared" si="112"/>
        <v>סיום</v>
      </c>
      <c r="EL12" s="242">
        <f t="shared" si="113"/>
        <v>6.0300471484172231E-2</v>
      </c>
      <c r="EM12" s="240">
        <f t="shared" si="114"/>
        <v>1.0465723915517635</v>
      </c>
      <c r="EN12" s="84">
        <f t="shared" si="115"/>
        <v>0</v>
      </c>
      <c r="EO12" s="84">
        <f>IF(EN12="","",IF(OR(EN12=1,IF(ISNA(MATCH("מוגן",$I12:EN12,0)),FALSE,TRUE)),1,0))</f>
        <v>0</v>
      </c>
      <c r="EP12" s="241">
        <f t="shared" si="116"/>
        <v>6.0300471484172231E-2</v>
      </c>
      <c r="EQ12" s="241" t="str">
        <f t="shared" si="117"/>
        <v>סיום</v>
      </c>
      <c r="ER12" s="242">
        <f t="shared" si="118"/>
        <v>6.0300471484172231E-2</v>
      </c>
      <c r="ES12" s="240">
        <f t="shared" si="119"/>
        <v>1.0465723915517635</v>
      </c>
      <c r="ET12" s="84">
        <f t="shared" si="120"/>
        <v>0</v>
      </c>
      <c r="EU12" s="84">
        <f>IF(ET12="","",IF(OR(ET12=1,IF(ISNA(MATCH("מוגן",$I12:ET12,0)),FALSE,TRUE)),1,0))</f>
        <v>0</v>
      </c>
      <c r="EV12" s="241">
        <f t="shared" si="121"/>
        <v>6.0300471484172231E-2</v>
      </c>
      <c r="EW12" s="241" t="str">
        <f t="shared" si="122"/>
        <v>סיום</v>
      </c>
      <c r="EX12" s="242">
        <f t="shared" si="123"/>
        <v>6.0300471484172231E-2</v>
      </c>
      <c r="EY12" s="240">
        <f t="shared" si="124"/>
        <v>1.0465723915517635</v>
      </c>
      <c r="EZ12" s="84">
        <f t="shared" si="125"/>
        <v>0</v>
      </c>
      <c r="FA12" s="84">
        <f>IF(EZ12="","",IF(OR(EZ12=1,IF(ISNA(MATCH("מוגן",$I12:EZ12,0)),FALSE,TRUE)),1,0))</f>
        <v>0</v>
      </c>
      <c r="FB12" s="241">
        <f t="shared" si="126"/>
        <v>6.0300471484172231E-2</v>
      </c>
      <c r="FC12" s="241" t="str">
        <f t="shared" si="127"/>
        <v>סיום</v>
      </c>
      <c r="FD12" s="242">
        <f t="shared" si="128"/>
        <v>6.0300471484172231E-2</v>
      </c>
      <c r="FE12" s="240">
        <f t="shared" si="129"/>
        <v>1.0465723915517635</v>
      </c>
      <c r="FF12" s="84">
        <f t="shared" si="130"/>
        <v>0</v>
      </c>
      <c r="FG12" s="84">
        <f>IF(FF12="","",IF(OR(FF12=1,IF(ISNA(MATCH("מוגן",$I12:FF12,0)),FALSE,TRUE)),1,0))</f>
        <v>0</v>
      </c>
      <c r="FH12" s="241">
        <f t="shared" si="131"/>
        <v>6.0300471484172231E-2</v>
      </c>
      <c r="FI12" s="241" t="str">
        <f t="shared" si="132"/>
        <v>סיום</v>
      </c>
      <c r="FJ12" s="242">
        <f t="shared" si="133"/>
        <v>6.0300471484172231E-2</v>
      </c>
      <c r="FK12" s="240">
        <f t="shared" si="134"/>
        <v>1.0465723915517635</v>
      </c>
      <c r="FL12" s="84">
        <f t="shared" si="135"/>
        <v>0</v>
      </c>
      <c r="FM12" s="84">
        <f>IF(FL12="","",IF(OR(FL12=1,IF(ISNA(MATCH("מוגן",$I12:FL12,0)),FALSE,TRUE)),1,0))</f>
        <v>0</v>
      </c>
      <c r="FN12" s="241">
        <f t="shared" si="136"/>
        <v>6.0300471484172231E-2</v>
      </c>
      <c r="FO12" s="241" t="str">
        <f t="shared" si="137"/>
        <v>סיום</v>
      </c>
      <c r="FP12" s="242">
        <f t="shared" si="138"/>
        <v>6.0300471484172231E-2</v>
      </c>
      <c r="FQ12" s="240">
        <f t="shared" si="139"/>
        <v>1.0465723915517635</v>
      </c>
      <c r="FR12" s="84">
        <f t="shared" si="140"/>
        <v>0</v>
      </c>
      <c r="FS12" s="84">
        <f>IF(FR12="","",IF(OR(FR12=1,IF(ISNA(MATCH("מוגן",$I12:FR12,0)),FALSE,TRUE)),1,0))</f>
        <v>0</v>
      </c>
      <c r="FT12" s="241">
        <f t="shared" si="141"/>
        <v>6.0300471484172231E-2</v>
      </c>
      <c r="FU12" s="241" t="str">
        <f t="shared" si="142"/>
        <v>סיום</v>
      </c>
      <c r="FV12" s="242">
        <f t="shared" si="143"/>
        <v>6.0300471484172231E-2</v>
      </c>
      <c r="FW12" s="240">
        <f t="shared" si="144"/>
        <v>1.0465723915517635</v>
      </c>
      <c r="FX12" s="84">
        <f t="shared" si="145"/>
        <v>0</v>
      </c>
      <c r="FY12" s="84">
        <f>IF(FX12="","",IF(OR(FX12=1,IF(ISNA(MATCH("מוגן",$I12:FX12,0)),FALSE,TRUE)),1,0))</f>
        <v>0</v>
      </c>
      <c r="FZ12" s="241">
        <f t="shared" si="146"/>
        <v>6.0300471484172231E-2</v>
      </c>
      <c r="GA12" s="241" t="str">
        <f t="shared" si="147"/>
        <v>סיום</v>
      </c>
      <c r="GB12" s="242">
        <f t="shared" si="148"/>
        <v>6.0300471484172231E-2</v>
      </c>
      <c r="GC12" s="240">
        <f t="shared" si="149"/>
        <v>1.0465723915517635</v>
      </c>
      <c r="GD12" s="84">
        <f t="shared" si="150"/>
        <v>0</v>
      </c>
      <c r="GE12" s="84">
        <f>IF(GD12="","",IF(OR(GD12=1,IF(ISNA(MATCH("מוגן",$I12:GD12,0)),FALSE,TRUE)),1,0))</f>
        <v>0</v>
      </c>
      <c r="GF12" s="241">
        <f t="shared" si="151"/>
        <v>6.0300471484172231E-2</v>
      </c>
      <c r="GG12" s="241" t="str">
        <f t="shared" si="152"/>
        <v>סיום</v>
      </c>
      <c r="GH12" s="242">
        <f t="shared" si="153"/>
        <v>6.0300471484172231E-2</v>
      </c>
      <c r="GI12" s="240">
        <f t="shared" si="154"/>
        <v>1.0465723915517635</v>
      </c>
      <c r="GJ12" s="84">
        <f t="shared" si="155"/>
        <v>0</v>
      </c>
      <c r="GK12" s="84">
        <f>IF(GJ12="","",IF(OR(GJ12=1,IF(ISNA(MATCH("מוגן",$I12:GJ12,0)),FALSE,TRUE)),1,0))</f>
        <v>0</v>
      </c>
      <c r="GL12" s="241">
        <f t="shared" si="156"/>
        <v>6.0300471484172231E-2</v>
      </c>
      <c r="GM12" s="241" t="str">
        <f t="shared" si="157"/>
        <v>סיום</v>
      </c>
      <c r="GN12" s="242">
        <f t="shared" si="158"/>
        <v>6.0300471484172231E-2</v>
      </c>
      <c r="GO12" s="240">
        <f t="shared" si="159"/>
        <v>1.0465723915517635</v>
      </c>
      <c r="GP12" s="84">
        <f t="shared" si="160"/>
        <v>0</v>
      </c>
      <c r="GQ12" s="84">
        <f>IF(GP12="","",IF(OR(GP12=1,IF(ISNA(MATCH("מוגן",$I12:GP12,0)),FALSE,TRUE)),1,0))</f>
        <v>0</v>
      </c>
      <c r="GR12" s="241">
        <f t="shared" si="161"/>
        <v>6.0300471484172231E-2</v>
      </c>
      <c r="GS12" s="241" t="str">
        <f t="shared" si="162"/>
        <v>סיום</v>
      </c>
      <c r="GT12" s="242">
        <f t="shared" si="163"/>
        <v>6.0300471484172231E-2</v>
      </c>
      <c r="GU12" s="240">
        <f t="shared" si="164"/>
        <v>1.0465723915517635</v>
      </c>
      <c r="GV12" s="84">
        <f t="shared" si="165"/>
        <v>0</v>
      </c>
      <c r="GW12" s="84">
        <f>IF(GV12="","",IF(OR(GV12=1,IF(ISNA(MATCH("מוגן",$I12:GV12,0)),FALSE,TRUE)),1,0))</f>
        <v>0</v>
      </c>
      <c r="GX12" s="241">
        <f t="shared" si="166"/>
        <v>6.0300471484172231E-2</v>
      </c>
      <c r="GY12" s="241" t="str">
        <f t="shared" si="167"/>
        <v>סיום</v>
      </c>
      <c r="GZ12" s="242">
        <f t="shared" si="168"/>
        <v>6.0300471484172231E-2</v>
      </c>
      <c r="HA12" s="119">
        <f t="shared" si="169"/>
        <v>5959014.0975159407</v>
      </c>
      <c r="HB12" s="246" t="str">
        <f t="shared" si="170"/>
        <v>OK</v>
      </c>
      <c r="HC12" s="244">
        <f t="shared" si="171"/>
        <v>1.0465723915517635</v>
      </c>
      <c r="HD12" s="245">
        <f t="shared" si="172"/>
        <v>6.0300471484172231E-2</v>
      </c>
      <c r="HE12" s="111">
        <f t="shared" si="173"/>
        <v>0</v>
      </c>
      <c r="HF12" s="111">
        <f t="shared" si="174"/>
        <v>1</v>
      </c>
      <c r="HG12" s="111" t="b">
        <f>OR(B12="",ISNA(MATCH(C12,{0,1},0)))</f>
        <v>0</v>
      </c>
    </row>
    <row r="13" spans="1:215">
      <c r="A13" s="120">
        <f>ייצוב!A9</f>
        <v>5</v>
      </c>
      <c r="B13" s="121" t="str">
        <f>ייצוב!B9</f>
        <v>באר שבע</v>
      </c>
      <c r="C13" s="67"/>
      <c r="D13" s="240">
        <f>ייצוב!E9</f>
        <v>7.673998501411633E-2</v>
      </c>
      <c r="E13" s="240">
        <f>ייצוב!G9</f>
        <v>7.5990954653826812E-2</v>
      </c>
      <c r="F13" s="240">
        <f t="shared" si="0"/>
        <v>0.99023937312273735</v>
      </c>
      <c r="G13" s="84">
        <f t="shared" si="1"/>
        <v>0</v>
      </c>
      <c r="H13" s="241">
        <f t="shared" si="2"/>
        <v>7.5990954653826812E-2</v>
      </c>
      <c r="I13" s="241">
        <f t="array" ref="I13">IF(H13="","",IF(G13=1,"מוגן",H13/SUMIF(G$9:G$41,"=0",H$9:H$41)))</f>
        <v>7.5990954653826812E-2</v>
      </c>
      <c r="J13" s="242">
        <f t="shared" si="3"/>
        <v>7.5990954653826812E-2</v>
      </c>
      <c r="K13" s="240">
        <f t="shared" si="4"/>
        <v>0.99023937312273735</v>
      </c>
      <c r="L13" s="84">
        <f t="shared" si="5"/>
        <v>0</v>
      </c>
      <c r="M13" s="84">
        <f>IF(L13="","",IF(OR(L13=1,IF(ISNA(MATCH("מוגן",$I13:L13,0)),FALSE,TRUE)),1,0))</f>
        <v>0</v>
      </c>
      <c r="N13" s="241">
        <f t="shared" si="6"/>
        <v>7.5990954653826812E-2</v>
      </c>
      <c r="O13" s="241" t="str">
        <f t="shared" si="7"/>
        <v>סיום</v>
      </c>
      <c r="P13" s="242">
        <f t="shared" si="8"/>
        <v>7.5990954653826812E-2</v>
      </c>
      <c r="Q13" s="240">
        <f t="shared" si="9"/>
        <v>0.99023937312273735</v>
      </c>
      <c r="R13" s="84">
        <f t="shared" si="10"/>
        <v>0</v>
      </c>
      <c r="S13" s="84">
        <f>IF(R13="","",IF(OR(R13=1,IF(ISNA(MATCH("מוגן",$I13:R13,0)),FALSE,TRUE)),1,0))</f>
        <v>0</v>
      </c>
      <c r="T13" s="241">
        <f t="shared" si="11"/>
        <v>7.5990954653826812E-2</v>
      </c>
      <c r="U13" s="241" t="str">
        <f t="shared" si="12"/>
        <v>סיום</v>
      </c>
      <c r="V13" s="242">
        <f t="shared" si="13"/>
        <v>7.5990954653826812E-2</v>
      </c>
      <c r="W13" s="240">
        <f t="shared" si="14"/>
        <v>0.99023937312273735</v>
      </c>
      <c r="X13" s="84">
        <f t="shared" si="15"/>
        <v>0</v>
      </c>
      <c r="Y13" s="84">
        <f>IF(X13="","",IF(OR(X13=1,IF(ISNA(MATCH("מוגן",$I13:X13,0)),FALSE,TRUE)),1,0))</f>
        <v>0</v>
      </c>
      <c r="Z13" s="241">
        <f t="shared" si="16"/>
        <v>7.5990954653826812E-2</v>
      </c>
      <c r="AA13" s="241" t="str">
        <f t="shared" si="17"/>
        <v>סיום</v>
      </c>
      <c r="AB13" s="242">
        <f t="shared" si="18"/>
        <v>7.5990954653826812E-2</v>
      </c>
      <c r="AC13" s="240">
        <f t="shared" si="19"/>
        <v>0.99023937312273735</v>
      </c>
      <c r="AD13" s="84">
        <f t="shared" si="20"/>
        <v>0</v>
      </c>
      <c r="AE13" s="84">
        <f>IF(AD13="","",IF(OR(AD13=1,IF(ISNA(MATCH("מוגן",$I13:AD13,0)),FALSE,TRUE)),1,0))</f>
        <v>0</v>
      </c>
      <c r="AF13" s="241">
        <f t="shared" si="21"/>
        <v>7.5990954653826812E-2</v>
      </c>
      <c r="AG13" s="241" t="str">
        <f t="shared" si="22"/>
        <v>סיום</v>
      </c>
      <c r="AH13" s="242">
        <f t="shared" si="23"/>
        <v>7.5990954653826812E-2</v>
      </c>
      <c r="AI13" s="240">
        <f t="shared" si="24"/>
        <v>0.99023937312273735</v>
      </c>
      <c r="AJ13" s="84">
        <f t="shared" si="25"/>
        <v>0</v>
      </c>
      <c r="AK13" s="84">
        <f>IF(AJ13="","",IF(OR(AJ13=1,IF(ISNA(MATCH("מוגן",$I13:AJ13,0)),FALSE,TRUE)),1,0))</f>
        <v>0</v>
      </c>
      <c r="AL13" s="241">
        <f t="shared" si="26"/>
        <v>7.5990954653826812E-2</v>
      </c>
      <c r="AM13" s="241" t="str">
        <f t="shared" si="27"/>
        <v>סיום</v>
      </c>
      <c r="AN13" s="242">
        <f t="shared" si="28"/>
        <v>7.5990954653826812E-2</v>
      </c>
      <c r="AO13" s="240">
        <f t="shared" si="29"/>
        <v>0.99023937312273735</v>
      </c>
      <c r="AP13" s="84">
        <f t="shared" si="30"/>
        <v>0</v>
      </c>
      <c r="AQ13" s="84">
        <f>IF(AP13="","",IF(OR(AP13=1,IF(ISNA(MATCH("מוגן",$I13:AP13,0)),FALSE,TRUE)),1,0))</f>
        <v>0</v>
      </c>
      <c r="AR13" s="241">
        <f t="shared" si="31"/>
        <v>7.5990954653826812E-2</v>
      </c>
      <c r="AS13" s="241" t="str">
        <f t="shared" si="32"/>
        <v>סיום</v>
      </c>
      <c r="AT13" s="242">
        <f t="shared" si="33"/>
        <v>7.5990954653826812E-2</v>
      </c>
      <c r="AU13" s="240">
        <f t="shared" si="34"/>
        <v>0.99023937312273735</v>
      </c>
      <c r="AV13" s="84">
        <f t="shared" si="35"/>
        <v>0</v>
      </c>
      <c r="AW13" s="84">
        <f>IF(AV13="","",IF(OR(AV13=1,IF(ISNA(MATCH("מוגן",$I13:AV13,0)),FALSE,TRUE)),1,0))</f>
        <v>0</v>
      </c>
      <c r="AX13" s="241">
        <f t="shared" si="36"/>
        <v>7.5990954653826812E-2</v>
      </c>
      <c r="AY13" s="241" t="str">
        <f t="shared" si="37"/>
        <v>סיום</v>
      </c>
      <c r="AZ13" s="242">
        <f t="shared" si="38"/>
        <v>7.5990954653826812E-2</v>
      </c>
      <c r="BA13" s="240">
        <f t="shared" si="39"/>
        <v>0.99023937312273735</v>
      </c>
      <c r="BB13" s="84">
        <f t="shared" si="40"/>
        <v>0</v>
      </c>
      <c r="BC13" s="84">
        <f>IF(BB13="","",IF(OR(BB13=1,IF(ISNA(MATCH("מוגן",$I13:BB13,0)),FALSE,TRUE)),1,0))</f>
        <v>0</v>
      </c>
      <c r="BD13" s="241">
        <f t="shared" si="41"/>
        <v>7.5990954653826812E-2</v>
      </c>
      <c r="BE13" s="241" t="str">
        <f t="shared" si="42"/>
        <v>סיום</v>
      </c>
      <c r="BF13" s="242">
        <f t="shared" si="43"/>
        <v>7.5990954653826812E-2</v>
      </c>
      <c r="BG13" s="240">
        <f t="shared" si="44"/>
        <v>0.99023937312273735</v>
      </c>
      <c r="BH13" s="84">
        <f t="shared" si="45"/>
        <v>0</v>
      </c>
      <c r="BI13" s="84">
        <f>IF(BH13="","",IF(OR(BH13=1,IF(ISNA(MATCH("מוגן",$I13:BH13,0)),FALSE,TRUE)),1,0))</f>
        <v>0</v>
      </c>
      <c r="BJ13" s="241">
        <f t="shared" si="46"/>
        <v>7.5990954653826812E-2</v>
      </c>
      <c r="BK13" s="241" t="str">
        <f t="shared" si="47"/>
        <v>סיום</v>
      </c>
      <c r="BL13" s="242">
        <f t="shared" si="48"/>
        <v>7.5990954653826812E-2</v>
      </c>
      <c r="BM13" s="240">
        <f t="shared" si="49"/>
        <v>0.99023937312273735</v>
      </c>
      <c r="BN13" s="84">
        <f t="shared" si="50"/>
        <v>0</v>
      </c>
      <c r="BO13" s="84">
        <f>IF(BN13="","",IF(OR(BN13=1,IF(ISNA(MATCH("מוגן",$I13:BN13,0)),FALSE,TRUE)),1,0))</f>
        <v>0</v>
      </c>
      <c r="BP13" s="241">
        <f t="shared" si="51"/>
        <v>7.5990954653826812E-2</v>
      </c>
      <c r="BQ13" s="241" t="str">
        <f t="shared" si="52"/>
        <v>סיום</v>
      </c>
      <c r="BR13" s="242">
        <f t="shared" si="53"/>
        <v>7.5990954653826812E-2</v>
      </c>
      <c r="BS13" s="240">
        <f t="shared" si="54"/>
        <v>0.99023937312273735</v>
      </c>
      <c r="BT13" s="84">
        <f t="shared" si="55"/>
        <v>0</v>
      </c>
      <c r="BU13" s="84">
        <f>IF(BT13="","",IF(OR(BT13=1,IF(ISNA(MATCH("מוגן",$I13:BT13,0)),FALSE,TRUE)),1,0))</f>
        <v>0</v>
      </c>
      <c r="BV13" s="241">
        <f t="shared" si="56"/>
        <v>7.5990954653826812E-2</v>
      </c>
      <c r="BW13" s="241" t="str">
        <f t="shared" si="57"/>
        <v>סיום</v>
      </c>
      <c r="BX13" s="242">
        <f t="shared" si="58"/>
        <v>7.5990954653826812E-2</v>
      </c>
      <c r="BY13" s="240">
        <f t="shared" si="59"/>
        <v>0.99023937312273735</v>
      </c>
      <c r="BZ13" s="84">
        <f t="shared" si="60"/>
        <v>0</v>
      </c>
      <c r="CA13" s="84">
        <f>IF(BZ13="","",IF(OR(BZ13=1,IF(ISNA(MATCH("מוגן",$I13:BZ13,0)),FALSE,TRUE)),1,0))</f>
        <v>0</v>
      </c>
      <c r="CB13" s="241">
        <f t="shared" si="61"/>
        <v>7.5990954653826812E-2</v>
      </c>
      <c r="CC13" s="241" t="str">
        <f t="shared" si="62"/>
        <v>סיום</v>
      </c>
      <c r="CD13" s="242">
        <f t="shared" si="63"/>
        <v>7.5990954653826812E-2</v>
      </c>
      <c r="CE13" s="240">
        <f t="shared" si="64"/>
        <v>0.99023937312273735</v>
      </c>
      <c r="CF13" s="84">
        <f t="shared" si="65"/>
        <v>0</v>
      </c>
      <c r="CG13" s="84">
        <f>IF(CF13="","",IF(OR(CF13=1,IF(ISNA(MATCH("מוגן",$I13:CF13,0)),FALSE,TRUE)),1,0))</f>
        <v>0</v>
      </c>
      <c r="CH13" s="241">
        <f t="shared" si="66"/>
        <v>7.5990954653826812E-2</v>
      </c>
      <c r="CI13" s="241" t="str">
        <f t="shared" si="67"/>
        <v>סיום</v>
      </c>
      <c r="CJ13" s="242">
        <f t="shared" si="68"/>
        <v>7.5990954653826812E-2</v>
      </c>
      <c r="CK13" s="240">
        <f t="shared" si="69"/>
        <v>0.99023937312273735</v>
      </c>
      <c r="CL13" s="84">
        <f t="shared" si="70"/>
        <v>0</v>
      </c>
      <c r="CM13" s="84">
        <f>IF(CL13="","",IF(OR(CL13=1,IF(ISNA(MATCH("מוגן",$I13:CL13,0)),FALSE,TRUE)),1,0))</f>
        <v>0</v>
      </c>
      <c r="CN13" s="241">
        <f t="shared" si="71"/>
        <v>7.5990954653826812E-2</v>
      </c>
      <c r="CO13" s="241" t="str">
        <f t="shared" si="72"/>
        <v>סיום</v>
      </c>
      <c r="CP13" s="242">
        <f t="shared" si="73"/>
        <v>7.5990954653826812E-2</v>
      </c>
      <c r="CQ13" s="240">
        <f t="shared" si="74"/>
        <v>0.99023937312273735</v>
      </c>
      <c r="CR13" s="84">
        <f t="shared" si="75"/>
        <v>0</v>
      </c>
      <c r="CS13" s="84">
        <f>IF(CR13="","",IF(OR(CR13=1,IF(ISNA(MATCH("מוגן",$I13:CR13,0)),FALSE,TRUE)),1,0))</f>
        <v>0</v>
      </c>
      <c r="CT13" s="241">
        <f t="shared" si="76"/>
        <v>7.5990954653826812E-2</v>
      </c>
      <c r="CU13" s="241" t="str">
        <f t="shared" si="77"/>
        <v>סיום</v>
      </c>
      <c r="CV13" s="242">
        <f t="shared" si="78"/>
        <v>7.5990954653826812E-2</v>
      </c>
      <c r="CW13" s="240">
        <f t="shared" si="79"/>
        <v>0.99023937312273735</v>
      </c>
      <c r="CX13" s="84">
        <f t="shared" si="80"/>
        <v>0</v>
      </c>
      <c r="CY13" s="84">
        <f>IF(CX13="","",IF(OR(CX13=1,IF(ISNA(MATCH("מוגן",$I13:CX13,0)),FALSE,TRUE)),1,0))</f>
        <v>0</v>
      </c>
      <c r="CZ13" s="241">
        <f t="shared" si="81"/>
        <v>7.5990954653826812E-2</v>
      </c>
      <c r="DA13" s="241" t="str">
        <f t="shared" si="82"/>
        <v>סיום</v>
      </c>
      <c r="DB13" s="242">
        <f t="shared" si="83"/>
        <v>7.5990954653826812E-2</v>
      </c>
      <c r="DC13" s="240">
        <f t="shared" si="84"/>
        <v>0.99023937312273735</v>
      </c>
      <c r="DD13" s="84">
        <f t="shared" si="85"/>
        <v>0</v>
      </c>
      <c r="DE13" s="84">
        <f>IF(DD13="","",IF(OR(DD13=1,IF(ISNA(MATCH("מוגן",$I13:DD13,0)),FALSE,TRUE)),1,0))</f>
        <v>0</v>
      </c>
      <c r="DF13" s="241">
        <f t="shared" si="86"/>
        <v>7.5990954653826812E-2</v>
      </c>
      <c r="DG13" s="241" t="str">
        <f t="shared" si="87"/>
        <v>סיום</v>
      </c>
      <c r="DH13" s="242">
        <f t="shared" si="88"/>
        <v>7.5990954653826812E-2</v>
      </c>
      <c r="DI13" s="240">
        <f t="shared" si="89"/>
        <v>0.99023937312273735</v>
      </c>
      <c r="DJ13" s="84">
        <f t="shared" si="90"/>
        <v>0</v>
      </c>
      <c r="DK13" s="84">
        <f>IF(DJ13="","",IF(OR(DJ13=1,IF(ISNA(MATCH("מוגן",$I13:DJ13,0)),FALSE,TRUE)),1,0))</f>
        <v>0</v>
      </c>
      <c r="DL13" s="241">
        <f t="shared" si="91"/>
        <v>7.5990954653826812E-2</v>
      </c>
      <c r="DM13" s="241" t="str">
        <f t="shared" si="92"/>
        <v>סיום</v>
      </c>
      <c r="DN13" s="242">
        <f t="shared" si="93"/>
        <v>7.5990954653826812E-2</v>
      </c>
      <c r="DO13" s="240">
        <f t="shared" si="94"/>
        <v>0.99023937312273735</v>
      </c>
      <c r="DP13" s="84">
        <f t="shared" si="95"/>
        <v>0</v>
      </c>
      <c r="DQ13" s="84">
        <f>IF(DP13="","",IF(OR(DP13=1,IF(ISNA(MATCH("מוגן",$I13:DP13,0)),FALSE,TRUE)),1,0))</f>
        <v>0</v>
      </c>
      <c r="DR13" s="241">
        <f t="shared" si="96"/>
        <v>7.5990954653826812E-2</v>
      </c>
      <c r="DS13" s="241" t="str">
        <f t="shared" si="97"/>
        <v>סיום</v>
      </c>
      <c r="DT13" s="242">
        <f t="shared" si="98"/>
        <v>7.5990954653826812E-2</v>
      </c>
      <c r="DU13" s="240">
        <f t="shared" si="99"/>
        <v>0.99023937312273735</v>
      </c>
      <c r="DV13" s="84">
        <f t="shared" si="100"/>
        <v>0</v>
      </c>
      <c r="DW13" s="84">
        <f>IF(DV13="","",IF(OR(DV13=1,IF(ISNA(MATCH("מוגן",$I13:DV13,0)),FALSE,TRUE)),1,0))</f>
        <v>0</v>
      </c>
      <c r="DX13" s="241">
        <f t="shared" si="101"/>
        <v>7.5990954653826812E-2</v>
      </c>
      <c r="DY13" s="241" t="str">
        <f t="shared" si="102"/>
        <v>סיום</v>
      </c>
      <c r="DZ13" s="242">
        <f t="shared" si="103"/>
        <v>7.5990954653826812E-2</v>
      </c>
      <c r="EA13" s="240">
        <f t="shared" si="104"/>
        <v>0.99023937312273735</v>
      </c>
      <c r="EB13" s="84">
        <f t="shared" si="105"/>
        <v>0</v>
      </c>
      <c r="EC13" s="84">
        <f>IF(EB13="","",IF(OR(EB13=1,IF(ISNA(MATCH("מוגן",$I13:EB13,0)),FALSE,TRUE)),1,0))</f>
        <v>0</v>
      </c>
      <c r="ED13" s="241">
        <f t="shared" si="106"/>
        <v>7.5990954653826812E-2</v>
      </c>
      <c r="EE13" s="241" t="str">
        <f t="shared" si="107"/>
        <v>סיום</v>
      </c>
      <c r="EF13" s="242">
        <f t="shared" si="108"/>
        <v>7.5990954653826812E-2</v>
      </c>
      <c r="EG13" s="240">
        <f t="shared" si="109"/>
        <v>0.99023937312273735</v>
      </c>
      <c r="EH13" s="84">
        <f t="shared" si="110"/>
        <v>0</v>
      </c>
      <c r="EI13" s="84">
        <f>IF(EH13="","",IF(OR(EH13=1,IF(ISNA(MATCH("מוגן",$I13:EH13,0)),FALSE,TRUE)),1,0))</f>
        <v>0</v>
      </c>
      <c r="EJ13" s="241">
        <f t="shared" si="111"/>
        <v>7.5990954653826812E-2</v>
      </c>
      <c r="EK13" s="241" t="str">
        <f t="shared" si="112"/>
        <v>סיום</v>
      </c>
      <c r="EL13" s="242">
        <f t="shared" si="113"/>
        <v>7.5990954653826812E-2</v>
      </c>
      <c r="EM13" s="240">
        <f t="shared" si="114"/>
        <v>0.99023937312273735</v>
      </c>
      <c r="EN13" s="84">
        <f t="shared" si="115"/>
        <v>0</v>
      </c>
      <c r="EO13" s="84">
        <f>IF(EN13="","",IF(OR(EN13=1,IF(ISNA(MATCH("מוגן",$I13:EN13,0)),FALSE,TRUE)),1,0))</f>
        <v>0</v>
      </c>
      <c r="EP13" s="241">
        <f t="shared" si="116"/>
        <v>7.5990954653826812E-2</v>
      </c>
      <c r="EQ13" s="241" t="str">
        <f t="shared" si="117"/>
        <v>סיום</v>
      </c>
      <c r="ER13" s="242">
        <f t="shared" si="118"/>
        <v>7.5990954653826812E-2</v>
      </c>
      <c r="ES13" s="240">
        <f t="shared" si="119"/>
        <v>0.99023937312273735</v>
      </c>
      <c r="ET13" s="84">
        <f t="shared" si="120"/>
        <v>0</v>
      </c>
      <c r="EU13" s="84">
        <f>IF(ET13="","",IF(OR(ET13=1,IF(ISNA(MATCH("מוגן",$I13:ET13,0)),FALSE,TRUE)),1,0))</f>
        <v>0</v>
      </c>
      <c r="EV13" s="241">
        <f t="shared" si="121"/>
        <v>7.5990954653826812E-2</v>
      </c>
      <c r="EW13" s="241" t="str">
        <f t="shared" si="122"/>
        <v>סיום</v>
      </c>
      <c r="EX13" s="242">
        <f t="shared" si="123"/>
        <v>7.5990954653826812E-2</v>
      </c>
      <c r="EY13" s="240">
        <f t="shared" si="124"/>
        <v>0.99023937312273735</v>
      </c>
      <c r="EZ13" s="84">
        <f t="shared" si="125"/>
        <v>0</v>
      </c>
      <c r="FA13" s="84">
        <f>IF(EZ13="","",IF(OR(EZ13=1,IF(ISNA(MATCH("מוגן",$I13:EZ13,0)),FALSE,TRUE)),1,0))</f>
        <v>0</v>
      </c>
      <c r="FB13" s="241">
        <f t="shared" si="126"/>
        <v>7.5990954653826812E-2</v>
      </c>
      <c r="FC13" s="241" t="str">
        <f t="shared" si="127"/>
        <v>סיום</v>
      </c>
      <c r="FD13" s="242">
        <f t="shared" si="128"/>
        <v>7.5990954653826812E-2</v>
      </c>
      <c r="FE13" s="240">
        <f t="shared" si="129"/>
        <v>0.99023937312273735</v>
      </c>
      <c r="FF13" s="84">
        <f t="shared" si="130"/>
        <v>0</v>
      </c>
      <c r="FG13" s="84">
        <f>IF(FF13="","",IF(OR(FF13=1,IF(ISNA(MATCH("מוגן",$I13:FF13,0)),FALSE,TRUE)),1,0))</f>
        <v>0</v>
      </c>
      <c r="FH13" s="241">
        <f t="shared" si="131"/>
        <v>7.5990954653826812E-2</v>
      </c>
      <c r="FI13" s="241" t="str">
        <f t="shared" si="132"/>
        <v>סיום</v>
      </c>
      <c r="FJ13" s="242">
        <f t="shared" si="133"/>
        <v>7.5990954653826812E-2</v>
      </c>
      <c r="FK13" s="240">
        <f t="shared" si="134"/>
        <v>0.99023937312273735</v>
      </c>
      <c r="FL13" s="84">
        <f t="shared" si="135"/>
        <v>0</v>
      </c>
      <c r="FM13" s="84">
        <f>IF(FL13="","",IF(OR(FL13=1,IF(ISNA(MATCH("מוגן",$I13:FL13,0)),FALSE,TRUE)),1,0))</f>
        <v>0</v>
      </c>
      <c r="FN13" s="241">
        <f t="shared" si="136"/>
        <v>7.5990954653826812E-2</v>
      </c>
      <c r="FO13" s="241" t="str">
        <f t="shared" si="137"/>
        <v>סיום</v>
      </c>
      <c r="FP13" s="242">
        <f t="shared" si="138"/>
        <v>7.5990954653826812E-2</v>
      </c>
      <c r="FQ13" s="240">
        <f t="shared" si="139"/>
        <v>0.99023937312273735</v>
      </c>
      <c r="FR13" s="84">
        <f t="shared" si="140"/>
        <v>0</v>
      </c>
      <c r="FS13" s="84">
        <f>IF(FR13="","",IF(OR(FR13=1,IF(ISNA(MATCH("מוגן",$I13:FR13,0)),FALSE,TRUE)),1,0))</f>
        <v>0</v>
      </c>
      <c r="FT13" s="241">
        <f t="shared" si="141"/>
        <v>7.5990954653826812E-2</v>
      </c>
      <c r="FU13" s="241" t="str">
        <f t="shared" si="142"/>
        <v>סיום</v>
      </c>
      <c r="FV13" s="242">
        <f t="shared" si="143"/>
        <v>7.5990954653826812E-2</v>
      </c>
      <c r="FW13" s="240">
        <f t="shared" si="144"/>
        <v>0.99023937312273735</v>
      </c>
      <c r="FX13" s="84">
        <f t="shared" si="145"/>
        <v>0</v>
      </c>
      <c r="FY13" s="84">
        <f>IF(FX13="","",IF(OR(FX13=1,IF(ISNA(MATCH("מוגן",$I13:FX13,0)),FALSE,TRUE)),1,0))</f>
        <v>0</v>
      </c>
      <c r="FZ13" s="241">
        <f t="shared" si="146"/>
        <v>7.5990954653826812E-2</v>
      </c>
      <c r="GA13" s="241" t="str">
        <f t="shared" si="147"/>
        <v>סיום</v>
      </c>
      <c r="GB13" s="242">
        <f t="shared" si="148"/>
        <v>7.5990954653826812E-2</v>
      </c>
      <c r="GC13" s="240">
        <f t="shared" si="149"/>
        <v>0.99023937312273735</v>
      </c>
      <c r="GD13" s="84">
        <f t="shared" si="150"/>
        <v>0</v>
      </c>
      <c r="GE13" s="84">
        <f>IF(GD13="","",IF(OR(GD13=1,IF(ISNA(MATCH("מוגן",$I13:GD13,0)),FALSE,TRUE)),1,0))</f>
        <v>0</v>
      </c>
      <c r="GF13" s="241">
        <f t="shared" si="151"/>
        <v>7.5990954653826812E-2</v>
      </c>
      <c r="GG13" s="241" t="str">
        <f t="shared" si="152"/>
        <v>סיום</v>
      </c>
      <c r="GH13" s="242">
        <f t="shared" si="153"/>
        <v>7.5990954653826812E-2</v>
      </c>
      <c r="GI13" s="240">
        <f t="shared" si="154"/>
        <v>0.99023937312273735</v>
      </c>
      <c r="GJ13" s="84">
        <f t="shared" si="155"/>
        <v>0</v>
      </c>
      <c r="GK13" s="84">
        <f>IF(GJ13="","",IF(OR(GJ13=1,IF(ISNA(MATCH("מוגן",$I13:GJ13,0)),FALSE,TRUE)),1,0))</f>
        <v>0</v>
      </c>
      <c r="GL13" s="241">
        <f t="shared" si="156"/>
        <v>7.5990954653826812E-2</v>
      </c>
      <c r="GM13" s="241" t="str">
        <f t="shared" si="157"/>
        <v>סיום</v>
      </c>
      <c r="GN13" s="242">
        <f t="shared" si="158"/>
        <v>7.5990954653826812E-2</v>
      </c>
      <c r="GO13" s="240">
        <f t="shared" si="159"/>
        <v>0.99023937312273735</v>
      </c>
      <c r="GP13" s="84">
        <f t="shared" si="160"/>
        <v>0</v>
      </c>
      <c r="GQ13" s="84">
        <f>IF(GP13="","",IF(OR(GP13=1,IF(ISNA(MATCH("מוגן",$I13:GP13,0)),FALSE,TRUE)),1,0))</f>
        <v>0</v>
      </c>
      <c r="GR13" s="241">
        <f t="shared" si="161"/>
        <v>7.5990954653826812E-2</v>
      </c>
      <c r="GS13" s="241" t="str">
        <f t="shared" si="162"/>
        <v>סיום</v>
      </c>
      <c r="GT13" s="242">
        <f t="shared" si="163"/>
        <v>7.5990954653826812E-2</v>
      </c>
      <c r="GU13" s="240">
        <f t="shared" si="164"/>
        <v>0.99023937312273735</v>
      </c>
      <c r="GV13" s="84">
        <f t="shared" si="165"/>
        <v>0</v>
      </c>
      <c r="GW13" s="84">
        <f>IF(GV13="","",IF(OR(GV13=1,IF(ISNA(MATCH("מוגן",$I13:GV13,0)),FALSE,TRUE)),1,0))</f>
        <v>0</v>
      </c>
      <c r="GX13" s="241">
        <f t="shared" si="166"/>
        <v>7.5990954653826812E-2</v>
      </c>
      <c r="GY13" s="241" t="str">
        <f t="shared" si="167"/>
        <v>סיום</v>
      </c>
      <c r="GZ13" s="242">
        <f t="shared" si="168"/>
        <v>7.5990954653826812E-2</v>
      </c>
      <c r="HA13" s="119">
        <f t="shared" si="169"/>
        <v>7509579.2606647927</v>
      </c>
      <c r="HB13" s="246" t="str">
        <f t="shared" si="170"/>
        <v>OK</v>
      </c>
      <c r="HC13" s="244">
        <f t="shared" si="171"/>
        <v>0.99023937312273735</v>
      </c>
      <c r="HD13" s="245">
        <f t="shared" si="172"/>
        <v>7.5990954653826812E-2</v>
      </c>
      <c r="HE13" s="111">
        <f t="shared" si="173"/>
        <v>0</v>
      </c>
      <c r="HF13" s="111">
        <f t="shared" si="174"/>
        <v>1</v>
      </c>
      <c r="HG13" s="111" t="b">
        <f>OR(B13="",ISNA(MATCH(C13,{0,1},0)))</f>
        <v>0</v>
      </c>
    </row>
    <row r="14" spans="1:215">
      <c r="A14" s="120">
        <f>ייצוב!A10</f>
        <v>6</v>
      </c>
      <c r="B14" s="121" t="str">
        <f>ייצוב!B10</f>
        <v>גשר</v>
      </c>
      <c r="C14" s="67"/>
      <c r="D14" s="240">
        <f>ייצוב!E10</f>
        <v>5.7290527340237714E-2</v>
      </c>
      <c r="E14" s="240">
        <f>ייצוב!G10</f>
        <v>5.9137962897375773E-2</v>
      </c>
      <c r="F14" s="240">
        <f t="shared" si="0"/>
        <v>1.0322467891797624</v>
      </c>
      <c r="G14" s="84">
        <f t="shared" si="1"/>
        <v>0</v>
      </c>
      <c r="H14" s="241">
        <f t="shared" si="2"/>
        <v>5.9137962897375773E-2</v>
      </c>
      <c r="I14" s="241">
        <f t="array" ref="I14">IF(H14="","",IF(G14=1,"מוגן",H14/SUMIF(G$9:G$41,"=0",H$9:H$41)))</f>
        <v>5.9137962897375773E-2</v>
      </c>
      <c r="J14" s="242">
        <f t="shared" si="3"/>
        <v>5.9137962897375773E-2</v>
      </c>
      <c r="K14" s="240">
        <f t="shared" si="4"/>
        <v>1.0322467891797624</v>
      </c>
      <c r="L14" s="84">
        <f t="shared" si="5"/>
        <v>0</v>
      </c>
      <c r="M14" s="84">
        <f>IF(L14="","",IF(OR(L14=1,IF(ISNA(MATCH("מוגן",$I14:L14,0)),FALSE,TRUE)),1,0))</f>
        <v>0</v>
      </c>
      <c r="N14" s="241">
        <f t="shared" si="6"/>
        <v>5.9137962897375773E-2</v>
      </c>
      <c r="O14" s="241" t="str">
        <f t="shared" si="7"/>
        <v>סיום</v>
      </c>
      <c r="P14" s="242">
        <f t="shared" si="8"/>
        <v>5.9137962897375773E-2</v>
      </c>
      <c r="Q14" s="240">
        <f t="shared" si="9"/>
        <v>1.0322467891797624</v>
      </c>
      <c r="R14" s="84">
        <f t="shared" si="10"/>
        <v>0</v>
      </c>
      <c r="S14" s="84">
        <f>IF(R14="","",IF(OR(R14=1,IF(ISNA(MATCH("מוגן",$I14:R14,0)),FALSE,TRUE)),1,0))</f>
        <v>0</v>
      </c>
      <c r="T14" s="241">
        <f t="shared" si="11"/>
        <v>5.9137962897375773E-2</v>
      </c>
      <c r="U14" s="241" t="str">
        <f t="shared" si="12"/>
        <v>סיום</v>
      </c>
      <c r="V14" s="242">
        <f t="shared" si="13"/>
        <v>5.9137962897375773E-2</v>
      </c>
      <c r="W14" s="240">
        <f t="shared" si="14"/>
        <v>1.0322467891797624</v>
      </c>
      <c r="X14" s="84">
        <f t="shared" si="15"/>
        <v>0</v>
      </c>
      <c r="Y14" s="84">
        <f>IF(X14="","",IF(OR(X14=1,IF(ISNA(MATCH("מוגן",$I14:X14,0)),FALSE,TRUE)),1,0))</f>
        <v>0</v>
      </c>
      <c r="Z14" s="241">
        <f t="shared" si="16"/>
        <v>5.9137962897375773E-2</v>
      </c>
      <c r="AA14" s="241" t="str">
        <f t="shared" si="17"/>
        <v>סיום</v>
      </c>
      <c r="AB14" s="242">
        <f t="shared" si="18"/>
        <v>5.9137962897375773E-2</v>
      </c>
      <c r="AC14" s="240">
        <f t="shared" si="19"/>
        <v>1.0322467891797624</v>
      </c>
      <c r="AD14" s="84">
        <f t="shared" si="20"/>
        <v>0</v>
      </c>
      <c r="AE14" s="84">
        <f>IF(AD14="","",IF(OR(AD14=1,IF(ISNA(MATCH("מוגן",$I14:AD14,0)),FALSE,TRUE)),1,0))</f>
        <v>0</v>
      </c>
      <c r="AF14" s="241">
        <f t="shared" si="21"/>
        <v>5.9137962897375773E-2</v>
      </c>
      <c r="AG14" s="241" t="str">
        <f t="shared" si="22"/>
        <v>סיום</v>
      </c>
      <c r="AH14" s="242">
        <f t="shared" si="23"/>
        <v>5.9137962897375773E-2</v>
      </c>
      <c r="AI14" s="240">
        <f t="shared" si="24"/>
        <v>1.0322467891797624</v>
      </c>
      <c r="AJ14" s="84">
        <f t="shared" si="25"/>
        <v>0</v>
      </c>
      <c r="AK14" s="84">
        <f>IF(AJ14="","",IF(OR(AJ14=1,IF(ISNA(MATCH("מוגן",$I14:AJ14,0)),FALSE,TRUE)),1,0))</f>
        <v>0</v>
      </c>
      <c r="AL14" s="241">
        <f t="shared" si="26"/>
        <v>5.9137962897375773E-2</v>
      </c>
      <c r="AM14" s="241" t="str">
        <f t="shared" si="27"/>
        <v>סיום</v>
      </c>
      <c r="AN14" s="242">
        <f t="shared" si="28"/>
        <v>5.9137962897375773E-2</v>
      </c>
      <c r="AO14" s="240">
        <f t="shared" si="29"/>
        <v>1.0322467891797624</v>
      </c>
      <c r="AP14" s="84">
        <f t="shared" si="30"/>
        <v>0</v>
      </c>
      <c r="AQ14" s="84">
        <f>IF(AP14="","",IF(OR(AP14=1,IF(ISNA(MATCH("מוגן",$I14:AP14,0)),FALSE,TRUE)),1,0))</f>
        <v>0</v>
      </c>
      <c r="AR14" s="241">
        <f t="shared" si="31"/>
        <v>5.9137962897375773E-2</v>
      </c>
      <c r="AS14" s="241" t="str">
        <f t="shared" si="32"/>
        <v>סיום</v>
      </c>
      <c r="AT14" s="242">
        <f t="shared" si="33"/>
        <v>5.9137962897375773E-2</v>
      </c>
      <c r="AU14" s="240">
        <f t="shared" si="34"/>
        <v>1.0322467891797624</v>
      </c>
      <c r="AV14" s="84">
        <f t="shared" si="35"/>
        <v>0</v>
      </c>
      <c r="AW14" s="84">
        <f>IF(AV14="","",IF(OR(AV14=1,IF(ISNA(MATCH("מוגן",$I14:AV14,0)),FALSE,TRUE)),1,0))</f>
        <v>0</v>
      </c>
      <c r="AX14" s="241">
        <f t="shared" si="36"/>
        <v>5.9137962897375773E-2</v>
      </c>
      <c r="AY14" s="241" t="str">
        <f t="shared" si="37"/>
        <v>סיום</v>
      </c>
      <c r="AZ14" s="242">
        <f t="shared" si="38"/>
        <v>5.9137962897375773E-2</v>
      </c>
      <c r="BA14" s="240">
        <f t="shared" si="39"/>
        <v>1.0322467891797624</v>
      </c>
      <c r="BB14" s="84">
        <f t="shared" si="40"/>
        <v>0</v>
      </c>
      <c r="BC14" s="84">
        <f>IF(BB14="","",IF(OR(BB14=1,IF(ISNA(MATCH("מוגן",$I14:BB14,0)),FALSE,TRUE)),1,0))</f>
        <v>0</v>
      </c>
      <c r="BD14" s="241">
        <f t="shared" si="41"/>
        <v>5.9137962897375773E-2</v>
      </c>
      <c r="BE14" s="241" t="str">
        <f t="shared" si="42"/>
        <v>סיום</v>
      </c>
      <c r="BF14" s="242">
        <f t="shared" si="43"/>
        <v>5.9137962897375773E-2</v>
      </c>
      <c r="BG14" s="240">
        <f t="shared" si="44"/>
        <v>1.0322467891797624</v>
      </c>
      <c r="BH14" s="84">
        <f t="shared" si="45"/>
        <v>0</v>
      </c>
      <c r="BI14" s="84">
        <f>IF(BH14="","",IF(OR(BH14=1,IF(ISNA(MATCH("מוגן",$I14:BH14,0)),FALSE,TRUE)),1,0))</f>
        <v>0</v>
      </c>
      <c r="BJ14" s="241">
        <f t="shared" si="46"/>
        <v>5.9137962897375773E-2</v>
      </c>
      <c r="BK14" s="241" t="str">
        <f t="shared" si="47"/>
        <v>סיום</v>
      </c>
      <c r="BL14" s="242">
        <f t="shared" si="48"/>
        <v>5.9137962897375773E-2</v>
      </c>
      <c r="BM14" s="240">
        <f t="shared" si="49"/>
        <v>1.0322467891797624</v>
      </c>
      <c r="BN14" s="84">
        <f t="shared" si="50"/>
        <v>0</v>
      </c>
      <c r="BO14" s="84">
        <f>IF(BN14="","",IF(OR(BN14=1,IF(ISNA(MATCH("מוגן",$I14:BN14,0)),FALSE,TRUE)),1,0))</f>
        <v>0</v>
      </c>
      <c r="BP14" s="241">
        <f t="shared" si="51"/>
        <v>5.9137962897375773E-2</v>
      </c>
      <c r="BQ14" s="241" t="str">
        <f t="shared" si="52"/>
        <v>סיום</v>
      </c>
      <c r="BR14" s="242">
        <f t="shared" si="53"/>
        <v>5.9137962897375773E-2</v>
      </c>
      <c r="BS14" s="240">
        <f t="shared" si="54"/>
        <v>1.0322467891797624</v>
      </c>
      <c r="BT14" s="84">
        <f t="shared" si="55"/>
        <v>0</v>
      </c>
      <c r="BU14" s="84">
        <f>IF(BT14="","",IF(OR(BT14=1,IF(ISNA(MATCH("מוגן",$I14:BT14,0)),FALSE,TRUE)),1,0))</f>
        <v>0</v>
      </c>
      <c r="BV14" s="241">
        <f t="shared" si="56"/>
        <v>5.9137962897375773E-2</v>
      </c>
      <c r="BW14" s="241" t="str">
        <f t="shared" si="57"/>
        <v>סיום</v>
      </c>
      <c r="BX14" s="242">
        <f t="shared" si="58"/>
        <v>5.9137962897375773E-2</v>
      </c>
      <c r="BY14" s="240">
        <f t="shared" si="59"/>
        <v>1.0322467891797624</v>
      </c>
      <c r="BZ14" s="84">
        <f t="shared" si="60"/>
        <v>0</v>
      </c>
      <c r="CA14" s="84">
        <f>IF(BZ14="","",IF(OR(BZ14=1,IF(ISNA(MATCH("מוגן",$I14:BZ14,0)),FALSE,TRUE)),1,0))</f>
        <v>0</v>
      </c>
      <c r="CB14" s="241">
        <f t="shared" si="61"/>
        <v>5.9137962897375773E-2</v>
      </c>
      <c r="CC14" s="241" t="str">
        <f t="shared" si="62"/>
        <v>סיום</v>
      </c>
      <c r="CD14" s="242">
        <f t="shared" si="63"/>
        <v>5.9137962897375773E-2</v>
      </c>
      <c r="CE14" s="240">
        <f t="shared" si="64"/>
        <v>1.0322467891797624</v>
      </c>
      <c r="CF14" s="84">
        <f t="shared" si="65"/>
        <v>0</v>
      </c>
      <c r="CG14" s="84">
        <f>IF(CF14="","",IF(OR(CF14=1,IF(ISNA(MATCH("מוגן",$I14:CF14,0)),FALSE,TRUE)),1,0))</f>
        <v>0</v>
      </c>
      <c r="CH14" s="241">
        <f t="shared" si="66"/>
        <v>5.9137962897375773E-2</v>
      </c>
      <c r="CI14" s="241" t="str">
        <f t="shared" si="67"/>
        <v>סיום</v>
      </c>
      <c r="CJ14" s="242">
        <f t="shared" si="68"/>
        <v>5.9137962897375773E-2</v>
      </c>
      <c r="CK14" s="240">
        <f t="shared" si="69"/>
        <v>1.0322467891797624</v>
      </c>
      <c r="CL14" s="84">
        <f t="shared" si="70"/>
        <v>0</v>
      </c>
      <c r="CM14" s="84">
        <f>IF(CL14="","",IF(OR(CL14=1,IF(ISNA(MATCH("מוגן",$I14:CL14,0)),FALSE,TRUE)),1,0))</f>
        <v>0</v>
      </c>
      <c r="CN14" s="241">
        <f t="shared" si="71"/>
        <v>5.9137962897375773E-2</v>
      </c>
      <c r="CO14" s="241" t="str">
        <f t="shared" si="72"/>
        <v>סיום</v>
      </c>
      <c r="CP14" s="242">
        <f t="shared" si="73"/>
        <v>5.9137962897375773E-2</v>
      </c>
      <c r="CQ14" s="240">
        <f t="shared" si="74"/>
        <v>1.0322467891797624</v>
      </c>
      <c r="CR14" s="84">
        <f t="shared" si="75"/>
        <v>0</v>
      </c>
      <c r="CS14" s="84">
        <f>IF(CR14="","",IF(OR(CR14=1,IF(ISNA(MATCH("מוגן",$I14:CR14,0)),FALSE,TRUE)),1,0))</f>
        <v>0</v>
      </c>
      <c r="CT14" s="241">
        <f t="shared" si="76"/>
        <v>5.9137962897375773E-2</v>
      </c>
      <c r="CU14" s="241" t="str">
        <f t="shared" si="77"/>
        <v>סיום</v>
      </c>
      <c r="CV14" s="242">
        <f t="shared" si="78"/>
        <v>5.9137962897375773E-2</v>
      </c>
      <c r="CW14" s="240">
        <f t="shared" si="79"/>
        <v>1.0322467891797624</v>
      </c>
      <c r="CX14" s="84">
        <f t="shared" si="80"/>
        <v>0</v>
      </c>
      <c r="CY14" s="84">
        <f>IF(CX14="","",IF(OR(CX14=1,IF(ISNA(MATCH("מוגן",$I14:CX14,0)),FALSE,TRUE)),1,0))</f>
        <v>0</v>
      </c>
      <c r="CZ14" s="241">
        <f t="shared" si="81"/>
        <v>5.9137962897375773E-2</v>
      </c>
      <c r="DA14" s="241" t="str">
        <f t="shared" si="82"/>
        <v>סיום</v>
      </c>
      <c r="DB14" s="242">
        <f t="shared" si="83"/>
        <v>5.9137962897375773E-2</v>
      </c>
      <c r="DC14" s="240">
        <f t="shared" si="84"/>
        <v>1.0322467891797624</v>
      </c>
      <c r="DD14" s="84">
        <f t="shared" si="85"/>
        <v>0</v>
      </c>
      <c r="DE14" s="84">
        <f>IF(DD14="","",IF(OR(DD14=1,IF(ISNA(MATCH("מוגן",$I14:DD14,0)),FALSE,TRUE)),1,0))</f>
        <v>0</v>
      </c>
      <c r="DF14" s="241">
        <f t="shared" si="86"/>
        <v>5.9137962897375773E-2</v>
      </c>
      <c r="DG14" s="241" t="str">
        <f t="shared" si="87"/>
        <v>סיום</v>
      </c>
      <c r="DH14" s="242">
        <f t="shared" si="88"/>
        <v>5.9137962897375773E-2</v>
      </c>
      <c r="DI14" s="240">
        <f t="shared" si="89"/>
        <v>1.0322467891797624</v>
      </c>
      <c r="DJ14" s="84">
        <f t="shared" si="90"/>
        <v>0</v>
      </c>
      <c r="DK14" s="84">
        <f>IF(DJ14="","",IF(OR(DJ14=1,IF(ISNA(MATCH("מוגן",$I14:DJ14,0)),FALSE,TRUE)),1,0))</f>
        <v>0</v>
      </c>
      <c r="DL14" s="241">
        <f t="shared" si="91"/>
        <v>5.9137962897375773E-2</v>
      </c>
      <c r="DM14" s="241" t="str">
        <f t="shared" si="92"/>
        <v>סיום</v>
      </c>
      <c r="DN14" s="242">
        <f t="shared" si="93"/>
        <v>5.9137962897375773E-2</v>
      </c>
      <c r="DO14" s="240">
        <f t="shared" si="94"/>
        <v>1.0322467891797624</v>
      </c>
      <c r="DP14" s="84">
        <f t="shared" si="95"/>
        <v>0</v>
      </c>
      <c r="DQ14" s="84">
        <f>IF(DP14="","",IF(OR(DP14=1,IF(ISNA(MATCH("מוגן",$I14:DP14,0)),FALSE,TRUE)),1,0))</f>
        <v>0</v>
      </c>
      <c r="DR14" s="241">
        <f t="shared" si="96"/>
        <v>5.9137962897375773E-2</v>
      </c>
      <c r="DS14" s="241" t="str">
        <f t="shared" si="97"/>
        <v>סיום</v>
      </c>
      <c r="DT14" s="242">
        <f t="shared" si="98"/>
        <v>5.9137962897375773E-2</v>
      </c>
      <c r="DU14" s="240">
        <f t="shared" si="99"/>
        <v>1.0322467891797624</v>
      </c>
      <c r="DV14" s="84">
        <f t="shared" si="100"/>
        <v>0</v>
      </c>
      <c r="DW14" s="84">
        <f>IF(DV14="","",IF(OR(DV14=1,IF(ISNA(MATCH("מוגן",$I14:DV14,0)),FALSE,TRUE)),1,0))</f>
        <v>0</v>
      </c>
      <c r="DX14" s="241">
        <f t="shared" si="101"/>
        <v>5.9137962897375773E-2</v>
      </c>
      <c r="DY14" s="241" t="str">
        <f t="shared" si="102"/>
        <v>סיום</v>
      </c>
      <c r="DZ14" s="242">
        <f t="shared" si="103"/>
        <v>5.9137962897375773E-2</v>
      </c>
      <c r="EA14" s="240">
        <f t="shared" si="104"/>
        <v>1.0322467891797624</v>
      </c>
      <c r="EB14" s="84">
        <f t="shared" si="105"/>
        <v>0</v>
      </c>
      <c r="EC14" s="84">
        <f>IF(EB14="","",IF(OR(EB14=1,IF(ISNA(MATCH("מוגן",$I14:EB14,0)),FALSE,TRUE)),1,0))</f>
        <v>0</v>
      </c>
      <c r="ED14" s="241">
        <f t="shared" si="106"/>
        <v>5.9137962897375773E-2</v>
      </c>
      <c r="EE14" s="241" t="str">
        <f t="shared" si="107"/>
        <v>סיום</v>
      </c>
      <c r="EF14" s="242">
        <f t="shared" si="108"/>
        <v>5.9137962897375773E-2</v>
      </c>
      <c r="EG14" s="240">
        <f t="shared" si="109"/>
        <v>1.0322467891797624</v>
      </c>
      <c r="EH14" s="84">
        <f t="shared" si="110"/>
        <v>0</v>
      </c>
      <c r="EI14" s="84">
        <f>IF(EH14="","",IF(OR(EH14=1,IF(ISNA(MATCH("מוגן",$I14:EH14,0)),FALSE,TRUE)),1,0))</f>
        <v>0</v>
      </c>
      <c r="EJ14" s="241">
        <f t="shared" si="111"/>
        <v>5.9137962897375773E-2</v>
      </c>
      <c r="EK14" s="241" t="str">
        <f t="shared" si="112"/>
        <v>סיום</v>
      </c>
      <c r="EL14" s="242">
        <f t="shared" si="113"/>
        <v>5.9137962897375773E-2</v>
      </c>
      <c r="EM14" s="240">
        <f t="shared" si="114"/>
        <v>1.0322467891797624</v>
      </c>
      <c r="EN14" s="84">
        <f t="shared" si="115"/>
        <v>0</v>
      </c>
      <c r="EO14" s="84">
        <f>IF(EN14="","",IF(OR(EN14=1,IF(ISNA(MATCH("מוגן",$I14:EN14,0)),FALSE,TRUE)),1,0))</f>
        <v>0</v>
      </c>
      <c r="EP14" s="241">
        <f t="shared" si="116"/>
        <v>5.9137962897375773E-2</v>
      </c>
      <c r="EQ14" s="241" t="str">
        <f t="shared" si="117"/>
        <v>סיום</v>
      </c>
      <c r="ER14" s="242">
        <f t="shared" si="118"/>
        <v>5.9137962897375773E-2</v>
      </c>
      <c r="ES14" s="240">
        <f t="shared" si="119"/>
        <v>1.0322467891797624</v>
      </c>
      <c r="ET14" s="84">
        <f t="shared" si="120"/>
        <v>0</v>
      </c>
      <c r="EU14" s="84">
        <f>IF(ET14="","",IF(OR(ET14=1,IF(ISNA(MATCH("מוגן",$I14:ET14,0)),FALSE,TRUE)),1,0))</f>
        <v>0</v>
      </c>
      <c r="EV14" s="241">
        <f t="shared" si="121"/>
        <v>5.9137962897375773E-2</v>
      </c>
      <c r="EW14" s="241" t="str">
        <f t="shared" si="122"/>
        <v>סיום</v>
      </c>
      <c r="EX14" s="242">
        <f t="shared" si="123"/>
        <v>5.9137962897375773E-2</v>
      </c>
      <c r="EY14" s="240">
        <f t="shared" si="124"/>
        <v>1.0322467891797624</v>
      </c>
      <c r="EZ14" s="84">
        <f t="shared" si="125"/>
        <v>0</v>
      </c>
      <c r="FA14" s="84">
        <f>IF(EZ14="","",IF(OR(EZ14=1,IF(ISNA(MATCH("מוגן",$I14:EZ14,0)),FALSE,TRUE)),1,0))</f>
        <v>0</v>
      </c>
      <c r="FB14" s="241">
        <f t="shared" si="126"/>
        <v>5.9137962897375773E-2</v>
      </c>
      <c r="FC14" s="241" t="str">
        <f t="shared" si="127"/>
        <v>סיום</v>
      </c>
      <c r="FD14" s="242">
        <f t="shared" si="128"/>
        <v>5.9137962897375773E-2</v>
      </c>
      <c r="FE14" s="240">
        <f t="shared" si="129"/>
        <v>1.0322467891797624</v>
      </c>
      <c r="FF14" s="84">
        <f t="shared" si="130"/>
        <v>0</v>
      </c>
      <c r="FG14" s="84">
        <f>IF(FF14="","",IF(OR(FF14=1,IF(ISNA(MATCH("מוגן",$I14:FF14,0)),FALSE,TRUE)),1,0))</f>
        <v>0</v>
      </c>
      <c r="FH14" s="241">
        <f t="shared" si="131"/>
        <v>5.9137962897375773E-2</v>
      </c>
      <c r="FI14" s="241" t="str">
        <f t="shared" si="132"/>
        <v>סיום</v>
      </c>
      <c r="FJ14" s="242">
        <f t="shared" si="133"/>
        <v>5.9137962897375773E-2</v>
      </c>
      <c r="FK14" s="240">
        <f t="shared" si="134"/>
        <v>1.0322467891797624</v>
      </c>
      <c r="FL14" s="84">
        <f t="shared" si="135"/>
        <v>0</v>
      </c>
      <c r="FM14" s="84">
        <f>IF(FL14="","",IF(OR(FL14=1,IF(ISNA(MATCH("מוגן",$I14:FL14,0)),FALSE,TRUE)),1,0))</f>
        <v>0</v>
      </c>
      <c r="FN14" s="241">
        <f t="shared" si="136"/>
        <v>5.9137962897375773E-2</v>
      </c>
      <c r="FO14" s="241" t="str">
        <f t="shared" si="137"/>
        <v>סיום</v>
      </c>
      <c r="FP14" s="242">
        <f t="shared" si="138"/>
        <v>5.9137962897375773E-2</v>
      </c>
      <c r="FQ14" s="240">
        <f t="shared" si="139"/>
        <v>1.0322467891797624</v>
      </c>
      <c r="FR14" s="84">
        <f t="shared" si="140"/>
        <v>0</v>
      </c>
      <c r="FS14" s="84">
        <f>IF(FR14="","",IF(OR(FR14=1,IF(ISNA(MATCH("מוגן",$I14:FR14,0)),FALSE,TRUE)),1,0))</f>
        <v>0</v>
      </c>
      <c r="FT14" s="241">
        <f t="shared" si="141"/>
        <v>5.9137962897375773E-2</v>
      </c>
      <c r="FU14" s="241" t="str">
        <f t="shared" si="142"/>
        <v>סיום</v>
      </c>
      <c r="FV14" s="242">
        <f t="shared" si="143"/>
        <v>5.9137962897375773E-2</v>
      </c>
      <c r="FW14" s="240">
        <f t="shared" si="144"/>
        <v>1.0322467891797624</v>
      </c>
      <c r="FX14" s="84">
        <f t="shared" si="145"/>
        <v>0</v>
      </c>
      <c r="FY14" s="84">
        <f>IF(FX14="","",IF(OR(FX14=1,IF(ISNA(MATCH("מוגן",$I14:FX14,0)),FALSE,TRUE)),1,0))</f>
        <v>0</v>
      </c>
      <c r="FZ14" s="241">
        <f t="shared" si="146"/>
        <v>5.9137962897375773E-2</v>
      </c>
      <c r="GA14" s="241" t="str">
        <f t="shared" si="147"/>
        <v>סיום</v>
      </c>
      <c r="GB14" s="242">
        <f t="shared" si="148"/>
        <v>5.9137962897375773E-2</v>
      </c>
      <c r="GC14" s="240">
        <f t="shared" si="149"/>
        <v>1.0322467891797624</v>
      </c>
      <c r="GD14" s="84">
        <f t="shared" si="150"/>
        <v>0</v>
      </c>
      <c r="GE14" s="84">
        <f>IF(GD14="","",IF(OR(GD14=1,IF(ISNA(MATCH("מוגן",$I14:GD14,0)),FALSE,TRUE)),1,0))</f>
        <v>0</v>
      </c>
      <c r="GF14" s="241">
        <f t="shared" si="151"/>
        <v>5.9137962897375773E-2</v>
      </c>
      <c r="GG14" s="241" t="str">
        <f t="shared" si="152"/>
        <v>סיום</v>
      </c>
      <c r="GH14" s="242">
        <f t="shared" si="153"/>
        <v>5.9137962897375773E-2</v>
      </c>
      <c r="GI14" s="240">
        <f t="shared" si="154"/>
        <v>1.0322467891797624</v>
      </c>
      <c r="GJ14" s="84">
        <f t="shared" si="155"/>
        <v>0</v>
      </c>
      <c r="GK14" s="84">
        <f>IF(GJ14="","",IF(OR(GJ14=1,IF(ISNA(MATCH("מוגן",$I14:GJ14,0)),FALSE,TRUE)),1,0))</f>
        <v>0</v>
      </c>
      <c r="GL14" s="241">
        <f t="shared" si="156"/>
        <v>5.9137962897375773E-2</v>
      </c>
      <c r="GM14" s="241" t="str">
        <f t="shared" si="157"/>
        <v>סיום</v>
      </c>
      <c r="GN14" s="242">
        <f t="shared" si="158"/>
        <v>5.9137962897375773E-2</v>
      </c>
      <c r="GO14" s="240">
        <f t="shared" si="159"/>
        <v>1.0322467891797624</v>
      </c>
      <c r="GP14" s="84">
        <f t="shared" si="160"/>
        <v>0</v>
      </c>
      <c r="GQ14" s="84">
        <f>IF(GP14="","",IF(OR(GP14=1,IF(ISNA(MATCH("מוגן",$I14:GP14,0)),FALSE,TRUE)),1,0))</f>
        <v>0</v>
      </c>
      <c r="GR14" s="241">
        <f t="shared" si="161"/>
        <v>5.9137962897375773E-2</v>
      </c>
      <c r="GS14" s="241" t="str">
        <f t="shared" si="162"/>
        <v>סיום</v>
      </c>
      <c r="GT14" s="242">
        <f t="shared" si="163"/>
        <v>5.9137962897375773E-2</v>
      </c>
      <c r="GU14" s="240">
        <f t="shared" si="164"/>
        <v>1.0322467891797624</v>
      </c>
      <c r="GV14" s="84">
        <f t="shared" si="165"/>
        <v>0</v>
      </c>
      <c r="GW14" s="84">
        <f>IF(GV14="","",IF(OR(GV14=1,IF(ISNA(MATCH("מוגן",$I14:GV14,0)),FALSE,TRUE)),1,0))</f>
        <v>0</v>
      </c>
      <c r="GX14" s="241">
        <f t="shared" si="166"/>
        <v>5.9137962897375773E-2</v>
      </c>
      <c r="GY14" s="241" t="str">
        <f t="shared" si="167"/>
        <v>סיום</v>
      </c>
      <c r="GZ14" s="242">
        <f t="shared" si="168"/>
        <v>5.9137962897375773E-2</v>
      </c>
      <c r="HA14" s="119">
        <f t="shared" si="169"/>
        <v>5844132.6565139117</v>
      </c>
      <c r="HB14" s="246" t="str">
        <f t="shared" si="170"/>
        <v>OK</v>
      </c>
      <c r="HC14" s="244">
        <f t="shared" si="171"/>
        <v>1.0322467891797624</v>
      </c>
      <c r="HD14" s="245">
        <f t="shared" si="172"/>
        <v>5.9137962897375773E-2</v>
      </c>
      <c r="HE14" s="111">
        <f t="shared" si="173"/>
        <v>0</v>
      </c>
      <c r="HF14" s="111">
        <f t="shared" si="174"/>
        <v>1</v>
      </c>
      <c r="HG14" s="111" t="b">
        <f>OR(B14="",ISNA(MATCH(C14,{0,1},0)))</f>
        <v>0</v>
      </c>
    </row>
    <row r="15" spans="1:215">
      <c r="A15" s="120">
        <f>ייצוב!A11</f>
        <v>7</v>
      </c>
      <c r="B15" s="121" t="str">
        <f>ייצוב!B11</f>
        <v>החאן</v>
      </c>
      <c r="C15" s="67"/>
      <c r="D15" s="240">
        <f>ייצוב!E11</f>
        <v>7.3747390612779934E-2</v>
      </c>
      <c r="E15" s="240">
        <f>ייצוב!G11</f>
        <v>7.2921117103434213E-2</v>
      </c>
      <c r="F15" s="240">
        <f t="shared" si="0"/>
        <v>0.98879589498041798</v>
      </c>
      <c r="G15" s="84">
        <f t="shared" si="1"/>
        <v>0</v>
      </c>
      <c r="H15" s="241">
        <f t="shared" si="2"/>
        <v>7.2921117103434213E-2</v>
      </c>
      <c r="I15" s="241">
        <f t="array" ref="I15">IF(H15="","",IF(G15=1,"מוגן",H15/SUMIF(G$9:G$41,"=0",H$9:H$41)))</f>
        <v>7.2921117103434213E-2</v>
      </c>
      <c r="J15" s="242">
        <f t="shared" si="3"/>
        <v>7.2921117103434213E-2</v>
      </c>
      <c r="K15" s="240">
        <f t="shared" si="4"/>
        <v>0.98879589498041798</v>
      </c>
      <c r="L15" s="84">
        <f t="shared" si="5"/>
        <v>0</v>
      </c>
      <c r="M15" s="84">
        <f>IF(L15="","",IF(OR(L15=1,IF(ISNA(MATCH("מוגן",$I15:L15,0)),FALSE,TRUE)),1,0))</f>
        <v>0</v>
      </c>
      <c r="N15" s="241">
        <f t="shared" si="6"/>
        <v>7.2921117103434213E-2</v>
      </c>
      <c r="O15" s="241" t="str">
        <f t="shared" si="7"/>
        <v>סיום</v>
      </c>
      <c r="P15" s="242">
        <f t="shared" si="8"/>
        <v>7.2921117103434213E-2</v>
      </c>
      <c r="Q15" s="240">
        <f t="shared" si="9"/>
        <v>0.98879589498041798</v>
      </c>
      <c r="R15" s="84">
        <f t="shared" si="10"/>
        <v>0</v>
      </c>
      <c r="S15" s="84">
        <f>IF(R15="","",IF(OR(R15=1,IF(ISNA(MATCH("מוגן",$I15:R15,0)),FALSE,TRUE)),1,0))</f>
        <v>0</v>
      </c>
      <c r="T15" s="241">
        <f t="shared" si="11"/>
        <v>7.2921117103434213E-2</v>
      </c>
      <c r="U15" s="241" t="str">
        <f t="shared" si="12"/>
        <v>סיום</v>
      </c>
      <c r="V15" s="242">
        <f t="shared" si="13"/>
        <v>7.2921117103434213E-2</v>
      </c>
      <c r="W15" s="240">
        <f t="shared" si="14"/>
        <v>0.98879589498041798</v>
      </c>
      <c r="X15" s="84">
        <f t="shared" si="15"/>
        <v>0</v>
      </c>
      <c r="Y15" s="84">
        <f>IF(X15="","",IF(OR(X15=1,IF(ISNA(MATCH("מוגן",$I15:X15,0)),FALSE,TRUE)),1,0))</f>
        <v>0</v>
      </c>
      <c r="Z15" s="241">
        <f t="shared" si="16"/>
        <v>7.2921117103434213E-2</v>
      </c>
      <c r="AA15" s="241" t="str">
        <f t="shared" si="17"/>
        <v>סיום</v>
      </c>
      <c r="AB15" s="242">
        <f t="shared" si="18"/>
        <v>7.2921117103434213E-2</v>
      </c>
      <c r="AC15" s="240">
        <f t="shared" si="19"/>
        <v>0.98879589498041798</v>
      </c>
      <c r="AD15" s="84">
        <f t="shared" si="20"/>
        <v>0</v>
      </c>
      <c r="AE15" s="84">
        <f>IF(AD15="","",IF(OR(AD15=1,IF(ISNA(MATCH("מוגן",$I15:AD15,0)),FALSE,TRUE)),1,0))</f>
        <v>0</v>
      </c>
      <c r="AF15" s="241">
        <f t="shared" si="21"/>
        <v>7.2921117103434213E-2</v>
      </c>
      <c r="AG15" s="241" t="str">
        <f t="shared" si="22"/>
        <v>סיום</v>
      </c>
      <c r="AH15" s="242">
        <f t="shared" si="23"/>
        <v>7.2921117103434213E-2</v>
      </c>
      <c r="AI15" s="240">
        <f t="shared" si="24"/>
        <v>0.98879589498041798</v>
      </c>
      <c r="AJ15" s="84">
        <f t="shared" si="25"/>
        <v>0</v>
      </c>
      <c r="AK15" s="84">
        <f>IF(AJ15="","",IF(OR(AJ15=1,IF(ISNA(MATCH("מוגן",$I15:AJ15,0)),FALSE,TRUE)),1,0))</f>
        <v>0</v>
      </c>
      <c r="AL15" s="241">
        <f t="shared" si="26"/>
        <v>7.2921117103434213E-2</v>
      </c>
      <c r="AM15" s="241" t="str">
        <f t="shared" si="27"/>
        <v>סיום</v>
      </c>
      <c r="AN15" s="242">
        <f t="shared" si="28"/>
        <v>7.2921117103434213E-2</v>
      </c>
      <c r="AO15" s="240">
        <f t="shared" si="29"/>
        <v>0.98879589498041798</v>
      </c>
      <c r="AP15" s="84">
        <f t="shared" si="30"/>
        <v>0</v>
      </c>
      <c r="AQ15" s="84">
        <f>IF(AP15="","",IF(OR(AP15=1,IF(ISNA(MATCH("מוגן",$I15:AP15,0)),FALSE,TRUE)),1,0))</f>
        <v>0</v>
      </c>
      <c r="AR15" s="241">
        <f t="shared" si="31"/>
        <v>7.2921117103434213E-2</v>
      </c>
      <c r="AS15" s="241" t="str">
        <f t="shared" si="32"/>
        <v>סיום</v>
      </c>
      <c r="AT15" s="242">
        <f t="shared" si="33"/>
        <v>7.2921117103434213E-2</v>
      </c>
      <c r="AU15" s="240">
        <f t="shared" si="34"/>
        <v>0.98879589498041798</v>
      </c>
      <c r="AV15" s="84">
        <f t="shared" si="35"/>
        <v>0</v>
      </c>
      <c r="AW15" s="84">
        <f>IF(AV15="","",IF(OR(AV15=1,IF(ISNA(MATCH("מוגן",$I15:AV15,0)),FALSE,TRUE)),1,0))</f>
        <v>0</v>
      </c>
      <c r="AX15" s="241">
        <f t="shared" si="36"/>
        <v>7.2921117103434213E-2</v>
      </c>
      <c r="AY15" s="241" t="str">
        <f t="shared" si="37"/>
        <v>סיום</v>
      </c>
      <c r="AZ15" s="242">
        <f t="shared" si="38"/>
        <v>7.2921117103434213E-2</v>
      </c>
      <c r="BA15" s="240">
        <f t="shared" si="39"/>
        <v>0.98879589498041798</v>
      </c>
      <c r="BB15" s="84">
        <f t="shared" si="40"/>
        <v>0</v>
      </c>
      <c r="BC15" s="84">
        <f>IF(BB15="","",IF(OR(BB15=1,IF(ISNA(MATCH("מוגן",$I15:BB15,0)),FALSE,TRUE)),1,0))</f>
        <v>0</v>
      </c>
      <c r="BD15" s="241">
        <f t="shared" si="41"/>
        <v>7.2921117103434213E-2</v>
      </c>
      <c r="BE15" s="241" t="str">
        <f t="shared" si="42"/>
        <v>סיום</v>
      </c>
      <c r="BF15" s="242">
        <f t="shared" si="43"/>
        <v>7.2921117103434213E-2</v>
      </c>
      <c r="BG15" s="240">
        <f t="shared" si="44"/>
        <v>0.98879589498041798</v>
      </c>
      <c r="BH15" s="84">
        <f t="shared" si="45"/>
        <v>0</v>
      </c>
      <c r="BI15" s="84">
        <f>IF(BH15="","",IF(OR(BH15=1,IF(ISNA(MATCH("מוגן",$I15:BH15,0)),FALSE,TRUE)),1,0))</f>
        <v>0</v>
      </c>
      <c r="BJ15" s="241">
        <f t="shared" si="46"/>
        <v>7.2921117103434213E-2</v>
      </c>
      <c r="BK15" s="241" t="str">
        <f t="shared" si="47"/>
        <v>סיום</v>
      </c>
      <c r="BL15" s="242">
        <f t="shared" si="48"/>
        <v>7.2921117103434213E-2</v>
      </c>
      <c r="BM15" s="240">
        <f t="shared" si="49"/>
        <v>0.98879589498041798</v>
      </c>
      <c r="BN15" s="84">
        <f t="shared" si="50"/>
        <v>0</v>
      </c>
      <c r="BO15" s="84">
        <f>IF(BN15="","",IF(OR(BN15=1,IF(ISNA(MATCH("מוגן",$I15:BN15,0)),FALSE,TRUE)),1,0))</f>
        <v>0</v>
      </c>
      <c r="BP15" s="241">
        <f t="shared" si="51"/>
        <v>7.2921117103434213E-2</v>
      </c>
      <c r="BQ15" s="241" t="str">
        <f t="shared" si="52"/>
        <v>סיום</v>
      </c>
      <c r="BR15" s="242">
        <f t="shared" si="53"/>
        <v>7.2921117103434213E-2</v>
      </c>
      <c r="BS15" s="240">
        <f t="shared" si="54"/>
        <v>0.98879589498041798</v>
      </c>
      <c r="BT15" s="84">
        <f t="shared" si="55"/>
        <v>0</v>
      </c>
      <c r="BU15" s="84">
        <f>IF(BT15="","",IF(OR(BT15=1,IF(ISNA(MATCH("מוגן",$I15:BT15,0)),FALSE,TRUE)),1,0))</f>
        <v>0</v>
      </c>
      <c r="BV15" s="241">
        <f t="shared" si="56"/>
        <v>7.2921117103434213E-2</v>
      </c>
      <c r="BW15" s="241" t="str">
        <f t="shared" si="57"/>
        <v>סיום</v>
      </c>
      <c r="BX15" s="242">
        <f t="shared" si="58"/>
        <v>7.2921117103434213E-2</v>
      </c>
      <c r="BY15" s="240">
        <f t="shared" si="59"/>
        <v>0.98879589498041798</v>
      </c>
      <c r="BZ15" s="84">
        <f t="shared" si="60"/>
        <v>0</v>
      </c>
      <c r="CA15" s="84">
        <f>IF(BZ15="","",IF(OR(BZ15=1,IF(ISNA(MATCH("מוגן",$I15:BZ15,0)),FALSE,TRUE)),1,0))</f>
        <v>0</v>
      </c>
      <c r="CB15" s="241">
        <f t="shared" si="61"/>
        <v>7.2921117103434213E-2</v>
      </c>
      <c r="CC15" s="241" t="str">
        <f t="shared" si="62"/>
        <v>סיום</v>
      </c>
      <c r="CD15" s="242">
        <f t="shared" si="63"/>
        <v>7.2921117103434213E-2</v>
      </c>
      <c r="CE15" s="240">
        <f t="shared" si="64"/>
        <v>0.98879589498041798</v>
      </c>
      <c r="CF15" s="84">
        <f t="shared" si="65"/>
        <v>0</v>
      </c>
      <c r="CG15" s="84">
        <f>IF(CF15="","",IF(OR(CF15=1,IF(ISNA(MATCH("מוגן",$I15:CF15,0)),FALSE,TRUE)),1,0))</f>
        <v>0</v>
      </c>
      <c r="CH15" s="241">
        <f t="shared" si="66"/>
        <v>7.2921117103434213E-2</v>
      </c>
      <c r="CI15" s="241" t="str">
        <f t="shared" si="67"/>
        <v>סיום</v>
      </c>
      <c r="CJ15" s="242">
        <f t="shared" si="68"/>
        <v>7.2921117103434213E-2</v>
      </c>
      <c r="CK15" s="240">
        <f t="shared" si="69"/>
        <v>0.98879589498041798</v>
      </c>
      <c r="CL15" s="84">
        <f t="shared" si="70"/>
        <v>0</v>
      </c>
      <c r="CM15" s="84">
        <f>IF(CL15="","",IF(OR(CL15=1,IF(ISNA(MATCH("מוגן",$I15:CL15,0)),FALSE,TRUE)),1,0))</f>
        <v>0</v>
      </c>
      <c r="CN15" s="241">
        <f t="shared" si="71"/>
        <v>7.2921117103434213E-2</v>
      </c>
      <c r="CO15" s="241" t="str">
        <f t="shared" si="72"/>
        <v>סיום</v>
      </c>
      <c r="CP15" s="242">
        <f t="shared" si="73"/>
        <v>7.2921117103434213E-2</v>
      </c>
      <c r="CQ15" s="240">
        <f t="shared" si="74"/>
        <v>0.98879589498041798</v>
      </c>
      <c r="CR15" s="84">
        <f t="shared" si="75"/>
        <v>0</v>
      </c>
      <c r="CS15" s="84">
        <f>IF(CR15="","",IF(OR(CR15=1,IF(ISNA(MATCH("מוגן",$I15:CR15,0)),FALSE,TRUE)),1,0))</f>
        <v>0</v>
      </c>
      <c r="CT15" s="241">
        <f t="shared" si="76"/>
        <v>7.2921117103434213E-2</v>
      </c>
      <c r="CU15" s="241" t="str">
        <f t="shared" si="77"/>
        <v>סיום</v>
      </c>
      <c r="CV15" s="242">
        <f t="shared" si="78"/>
        <v>7.2921117103434213E-2</v>
      </c>
      <c r="CW15" s="240">
        <f t="shared" si="79"/>
        <v>0.98879589498041798</v>
      </c>
      <c r="CX15" s="84">
        <f t="shared" si="80"/>
        <v>0</v>
      </c>
      <c r="CY15" s="84">
        <f>IF(CX15="","",IF(OR(CX15=1,IF(ISNA(MATCH("מוגן",$I15:CX15,0)),FALSE,TRUE)),1,0))</f>
        <v>0</v>
      </c>
      <c r="CZ15" s="241">
        <f t="shared" si="81"/>
        <v>7.2921117103434213E-2</v>
      </c>
      <c r="DA15" s="241" t="str">
        <f t="shared" si="82"/>
        <v>סיום</v>
      </c>
      <c r="DB15" s="242">
        <f t="shared" si="83"/>
        <v>7.2921117103434213E-2</v>
      </c>
      <c r="DC15" s="240">
        <f t="shared" si="84"/>
        <v>0.98879589498041798</v>
      </c>
      <c r="DD15" s="84">
        <f t="shared" si="85"/>
        <v>0</v>
      </c>
      <c r="DE15" s="84">
        <f>IF(DD15="","",IF(OR(DD15=1,IF(ISNA(MATCH("מוגן",$I15:DD15,0)),FALSE,TRUE)),1,0))</f>
        <v>0</v>
      </c>
      <c r="DF15" s="241">
        <f t="shared" si="86"/>
        <v>7.2921117103434213E-2</v>
      </c>
      <c r="DG15" s="241" t="str">
        <f t="shared" si="87"/>
        <v>סיום</v>
      </c>
      <c r="DH15" s="242">
        <f t="shared" si="88"/>
        <v>7.2921117103434213E-2</v>
      </c>
      <c r="DI15" s="240">
        <f t="shared" si="89"/>
        <v>0.98879589498041798</v>
      </c>
      <c r="DJ15" s="84">
        <f t="shared" si="90"/>
        <v>0</v>
      </c>
      <c r="DK15" s="84">
        <f>IF(DJ15="","",IF(OR(DJ15=1,IF(ISNA(MATCH("מוגן",$I15:DJ15,0)),FALSE,TRUE)),1,0))</f>
        <v>0</v>
      </c>
      <c r="DL15" s="241">
        <f t="shared" si="91"/>
        <v>7.2921117103434213E-2</v>
      </c>
      <c r="DM15" s="241" t="str">
        <f t="shared" si="92"/>
        <v>סיום</v>
      </c>
      <c r="DN15" s="242">
        <f t="shared" si="93"/>
        <v>7.2921117103434213E-2</v>
      </c>
      <c r="DO15" s="240">
        <f t="shared" si="94"/>
        <v>0.98879589498041798</v>
      </c>
      <c r="DP15" s="84">
        <f t="shared" si="95"/>
        <v>0</v>
      </c>
      <c r="DQ15" s="84">
        <f>IF(DP15="","",IF(OR(DP15=1,IF(ISNA(MATCH("מוגן",$I15:DP15,0)),FALSE,TRUE)),1,0))</f>
        <v>0</v>
      </c>
      <c r="DR15" s="241">
        <f t="shared" si="96"/>
        <v>7.2921117103434213E-2</v>
      </c>
      <c r="DS15" s="241" t="str">
        <f t="shared" si="97"/>
        <v>סיום</v>
      </c>
      <c r="DT15" s="242">
        <f t="shared" si="98"/>
        <v>7.2921117103434213E-2</v>
      </c>
      <c r="DU15" s="240">
        <f t="shared" si="99"/>
        <v>0.98879589498041798</v>
      </c>
      <c r="DV15" s="84">
        <f t="shared" si="100"/>
        <v>0</v>
      </c>
      <c r="DW15" s="84">
        <f>IF(DV15="","",IF(OR(DV15=1,IF(ISNA(MATCH("מוגן",$I15:DV15,0)),FALSE,TRUE)),1,0))</f>
        <v>0</v>
      </c>
      <c r="DX15" s="241">
        <f t="shared" si="101"/>
        <v>7.2921117103434213E-2</v>
      </c>
      <c r="DY15" s="241" t="str">
        <f t="shared" si="102"/>
        <v>סיום</v>
      </c>
      <c r="DZ15" s="242">
        <f t="shared" si="103"/>
        <v>7.2921117103434213E-2</v>
      </c>
      <c r="EA15" s="240">
        <f t="shared" si="104"/>
        <v>0.98879589498041798</v>
      </c>
      <c r="EB15" s="84">
        <f t="shared" si="105"/>
        <v>0</v>
      </c>
      <c r="EC15" s="84">
        <f>IF(EB15="","",IF(OR(EB15=1,IF(ISNA(MATCH("מוגן",$I15:EB15,0)),FALSE,TRUE)),1,0))</f>
        <v>0</v>
      </c>
      <c r="ED15" s="241">
        <f t="shared" si="106"/>
        <v>7.2921117103434213E-2</v>
      </c>
      <c r="EE15" s="241" t="str">
        <f t="shared" si="107"/>
        <v>סיום</v>
      </c>
      <c r="EF15" s="242">
        <f t="shared" si="108"/>
        <v>7.2921117103434213E-2</v>
      </c>
      <c r="EG15" s="240">
        <f t="shared" si="109"/>
        <v>0.98879589498041798</v>
      </c>
      <c r="EH15" s="84">
        <f t="shared" si="110"/>
        <v>0</v>
      </c>
      <c r="EI15" s="84">
        <f>IF(EH15="","",IF(OR(EH15=1,IF(ISNA(MATCH("מוגן",$I15:EH15,0)),FALSE,TRUE)),1,0))</f>
        <v>0</v>
      </c>
      <c r="EJ15" s="241">
        <f t="shared" si="111"/>
        <v>7.2921117103434213E-2</v>
      </c>
      <c r="EK15" s="241" t="str">
        <f t="shared" si="112"/>
        <v>סיום</v>
      </c>
      <c r="EL15" s="242">
        <f t="shared" si="113"/>
        <v>7.2921117103434213E-2</v>
      </c>
      <c r="EM15" s="240">
        <f t="shared" si="114"/>
        <v>0.98879589498041798</v>
      </c>
      <c r="EN15" s="84">
        <f t="shared" si="115"/>
        <v>0</v>
      </c>
      <c r="EO15" s="84">
        <f>IF(EN15="","",IF(OR(EN15=1,IF(ISNA(MATCH("מוגן",$I15:EN15,0)),FALSE,TRUE)),1,0))</f>
        <v>0</v>
      </c>
      <c r="EP15" s="241">
        <f t="shared" si="116"/>
        <v>7.2921117103434213E-2</v>
      </c>
      <c r="EQ15" s="241" t="str">
        <f t="shared" si="117"/>
        <v>סיום</v>
      </c>
      <c r="ER15" s="242">
        <f t="shared" si="118"/>
        <v>7.2921117103434213E-2</v>
      </c>
      <c r="ES15" s="240">
        <f t="shared" si="119"/>
        <v>0.98879589498041798</v>
      </c>
      <c r="ET15" s="84">
        <f t="shared" si="120"/>
        <v>0</v>
      </c>
      <c r="EU15" s="84">
        <f>IF(ET15="","",IF(OR(ET15=1,IF(ISNA(MATCH("מוגן",$I15:ET15,0)),FALSE,TRUE)),1,0))</f>
        <v>0</v>
      </c>
      <c r="EV15" s="241">
        <f t="shared" si="121"/>
        <v>7.2921117103434213E-2</v>
      </c>
      <c r="EW15" s="241" t="str">
        <f t="shared" si="122"/>
        <v>סיום</v>
      </c>
      <c r="EX15" s="242">
        <f t="shared" si="123"/>
        <v>7.2921117103434213E-2</v>
      </c>
      <c r="EY15" s="240">
        <f t="shared" si="124"/>
        <v>0.98879589498041798</v>
      </c>
      <c r="EZ15" s="84">
        <f t="shared" si="125"/>
        <v>0</v>
      </c>
      <c r="FA15" s="84">
        <f>IF(EZ15="","",IF(OR(EZ15=1,IF(ISNA(MATCH("מוגן",$I15:EZ15,0)),FALSE,TRUE)),1,0))</f>
        <v>0</v>
      </c>
      <c r="FB15" s="241">
        <f t="shared" si="126"/>
        <v>7.2921117103434213E-2</v>
      </c>
      <c r="FC15" s="241" t="str">
        <f t="shared" si="127"/>
        <v>סיום</v>
      </c>
      <c r="FD15" s="242">
        <f t="shared" si="128"/>
        <v>7.2921117103434213E-2</v>
      </c>
      <c r="FE15" s="240">
        <f t="shared" si="129"/>
        <v>0.98879589498041798</v>
      </c>
      <c r="FF15" s="84">
        <f t="shared" si="130"/>
        <v>0</v>
      </c>
      <c r="FG15" s="84">
        <f>IF(FF15="","",IF(OR(FF15=1,IF(ISNA(MATCH("מוגן",$I15:FF15,0)),FALSE,TRUE)),1,0))</f>
        <v>0</v>
      </c>
      <c r="FH15" s="241">
        <f t="shared" si="131"/>
        <v>7.2921117103434213E-2</v>
      </c>
      <c r="FI15" s="241" t="str">
        <f t="shared" si="132"/>
        <v>סיום</v>
      </c>
      <c r="FJ15" s="242">
        <f t="shared" si="133"/>
        <v>7.2921117103434213E-2</v>
      </c>
      <c r="FK15" s="240">
        <f t="shared" si="134"/>
        <v>0.98879589498041798</v>
      </c>
      <c r="FL15" s="84">
        <f t="shared" si="135"/>
        <v>0</v>
      </c>
      <c r="FM15" s="84">
        <f>IF(FL15="","",IF(OR(FL15=1,IF(ISNA(MATCH("מוגן",$I15:FL15,0)),FALSE,TRUE)),1,0))</f>
        <v>0</v>
      </c>
      <c r="FN15" s="241">
        <f t="shared" si="136"/>
        <v>7.2921117103434213E-2</v>
      </c>
      <c r="FO15" s="241" t="str">
        <f t="shared" si="137"/>
        <v>סיום</v>
      </c>
      <c r="FP15" s="242">
        <f t="shared" si="138"/>
        <v>7.2921117103434213E-2</v>
      </c>
      <c r="FQ15" s="240">
        <f t="shared" si="139"/>
        <v>0.98879589498041798</v>
      </c>
      <c r="FR15" s="84">
        <f t="shared" si="140"/>
        <v>0</v>
      </c>
      <c r="FS15" s="84">
        <f>IF(FR15="","",IF(OR(FR15=1,IF(ISNA(MATCH("מוגן",$I15:FR15,0)),FALSE,TRUE)),1,0))</f>
        <v>0</v>
      </c>
      <c r="FT15" s="241">
        <f t="shared" si="141"/>
        <v>7.2921117103434213E-2</v>
      </c>
      <c r="FU15" s="241" t="str">
        <f t="shared" si="142"/>
        <v>סיום</v>
      </c>
      <c r="FV15" s="242">
        <f t="shared" si="143"/>
        <v>7.2921117103434213E-2</v>
      </c>
      <c r="FW15" s="240">
        <f t="shared" si="144"/>
        <v>0.98879589498041798</v>
      </c>
      <c r="FX15" s="84">
        <f t="shared" si="145"/>
        <v>0</v>
      </c>
      <c r="FY15" s="84">
        <f>IF(FX15="","",IF(OR(FX15=1,IF(ISNA(MATCH("מוגן",$I15:FX15,0)),FALSE,TRUE)),1,0))</f>
        <v>0</v>
      </c>
      <c r="FZ15" s="241">
        <f t="shared" si="146"/>
        <v>7.2921117103434213E-2</v>
      </c>
      <c r="GA15" s="241" t="str">
        <f t="shared" si="147"/>
        <v>סיום</v>
      </c>
      <c r="GB15" s="242">
        <f t="shared" si="148"/>
        <v>7.2921117103434213E-2</v>
      </c>
      <c r="GC15" s="240">
        <f t="shared" si="149"/>
        <v>0.98879589498041798</v>
      </c>
      <c r="GD15" s="84">
        <f t="shared" si="150"/>
        <v>0</v>
      </c>
      <c r="GE15" s="84">
        <f>IF(GD15="","",IF(OR(GD15=1,IF(ISNA(MATCH("מוגן",$I15:GD15,0)),FALSE,TRUE)),1,0))</f>
        <v>0</v>
      </c>
      <c r="GF15" s="241">
        <f t="shared" si="151"/>
        <v>7.2921117103434213E-2</v>
      </c>
      <c r="GG15" s="241" t="str">
        <f t="shared" si="152"/>
        <v>סיום</v>
      </c>
      <c r="GH15" s="242">
        <f t="shared" si="153"/>
        <v>7.2921117103434213E-2</v>
      </c>
      <c r="GI15" s="240">
        <f t="shared" si="154"/>
        <v>0.98879589498041798</v>
      </c>
      <c r="GJ15" s="84">
        <f t="shared" si="155"/>
        <v>0</v>
      </c>
      <c r="GK15" s="84">
        <f>IF(GJ15="","",IF(OR(GJ15=1,IF(ISNA(MATCH("מוגן",$I15:GJ15,0)),FALSE,TRUE)),1,0))</f>
        <v>0</v>
      </c>
      <c r="GL15" s="241">
        <f t="shared" si="156"/>
        <v>7.2921117103434213E-2</v>
      </c>
      <c r="GM15" s="241" t="str">
        <f t="shared" si="157"/>
        <v>סיום</v>
      </c>
      <c r="GN15" s="242">
        <f t="shared" si="158"/>
        <v>7.2921117103434213E-2</v>
      </c>
      <c r="GO15" s="240">
        <f t="shared" si="159"/>
        <v>0.98879589498041798</v>
      </c>
      <c r="GP15" s="84">
        <f t="shared" si="160"/>
        <v>0</v>
      </c>
      <c r="GQ15" s="84">
        <f>IF(GP15="","",IF(OR(GP15=1,IF(ISNA(MATCH("מוגן",$I15:GP15,0)),FALSE,TRUE)),1,0))</f>
        <v>0</v>
      </c>
      <c r="GR15" s="241">
        <f t="shared" si="161"/>
        <v>7.2921117103434213E-2</v>
      </c>
      <c r="GS15" s="241" t="str">
        <f t="shared" si="162"/>
        <v>סיום</v>
      </c>
      <c r="GT15" s="242">
        <f t="shared" si="163"/>
        <v>7.2921117103434213E-2</v>
      </c>
      <c r="GU15" s="240">
        <f t="shared" si="164"/>
        <v>0.98879589498041798</v>
      </c>
      <c r="GV15" s="84">
        <f t="shared" si="165"/>
        <v>0</v>
      </c>
      <c r="GW15" s="84">
        <f>IF(GV15="","",IF(OR(GV15=1,IF(ISNA(MATCH("מוגן",$I15:GV15,0)),FALSE,TRUE)),1,0))</f>
        <v>0</v>
      </c>
      <c r="GX15" s="241">
        <f t="shared" si="166"/>
        <v>7.2921117103434213E-2</v>
      </c>
      <c r="GY15" s="241" t="str">
        <f t="shared" si="167"/>
        <v>סיום</v>
      </c>
      <c r="GZ15" s="242">
        <f t="shared" si="168"/>
        <v>7.2921117103434213E-2</v>
      </c>
      <c r="HA15" s="119">
        <f t="shared" si="169"/>
        <v>7206211.7282123324</v>
      </c>
      <c r="HB15" s="246" t="str">
        <f t="shared" si="170"/>
        <v>OK</v>
      </c>
      <c r="HC15" s="244">
        <f t="shared" si="171"/>
        <v>0.98879589498041798</v>
      </c>
      <c r="HD15" s="245">
        <f t="shared" si="172"/>
        <v>7.2921117103434213E-2</v>
      </c>
      <c r="HE15" s="111">
        <f t="shared" si="173"/>
        <v>0</v>
      </c>
      <c r="HF15" s="111">
        <f t="shared" si="174"/>
        <v>1</v>
      </c>
      <c r="HG15" s="111" t="b">
        <f>OR(B15="",ISNA(MATCH(C15,{0,1},0)))</f>
        <v>0</v>
      </c>
    </row>
    <row r="16" spans="1:215">
      <c r="A16" s="120">
        <f>ייצוב!A12</f>
        <v>8</v>
      </c>
      <c r="B16" s="121" t="str">
        <f>ייצוב!B12</f>
        <v>היידישפיל</v>
      </c>
      <c r="C16" s="67"/>
      <c r="D16" s="240">
        <f>ייצוב!E12</f>
        <v>5.3778075445816448E-2</v>
      </c>
      <c r="E16" s="240">
        <f>ייצוב!G12</f>
        <v>5.1896944760155397E-2</v>
      </c>
      <c r="F16" s="240">
        <f t="shared" si="0"/>
        <v>0.96502049078427199</v>
      </c>
      <c r="G16" s="84">
        <f t="shared" si="1"/>
        <v>0</v>
      </c>
      <c r="H16" s="241">
        <f t="shared" si="2"/>
        <v>5.1896944760155397E-2</v>
      </c>
      <c r="I16" s="241">
        <f t="array" ref="I16">IF(H16="","",IF(G16=1,"מוגן",H16/SUMIF(G$9:G$41,"=0",H$9:H$41)))</f>
        <v>5.1896944760155397E-2</v>
      </c>
      <c r="J16" s="242">
        <f t="shared" si="3"/>
        <v>5.1896944760155397E-2</v>
      </c>
      <c r="K16" s="240">
        <f t="shared" si="4"/>
        <v>0.96502049078427199</v>
      </c>
      <c r="L16" s="84">
        <f t="shared" si="5"/>
        <v>0</v>
      </c>
      <c r="M16" s="84">
        <f>IF(L16="","",IF(OR(L16=1,IF(ISNA(MATCH("מוגן",$I16:L16,0)),FALSE,TRUE)),1,0))</f>
        <v>0</v>
      </c>
      <c r="N16" s="241">
        <f t="shared" si="6"/>
        <v>5.1896944760155397E-2</v>
      </c>
      <c r="O16" s="241" t="str">
        <f t="shared" si="7"/>
        <v>סיום</v>
      </c>
      <c r="P16" s="242">
        <f t="shared" si="8"/>
        <v>5.1896944760155397E-2</v>
      </c>
      <c r="Q16" s="240">
        <f t="shared" si="9"/>
        <v>0.96502049078427199</v>
      </c>
      <c r="R16" s="84">
        <f t="shared" si="10"/>
        <v>0</v>
      </c>
      <c r="S16" s="84">
        <f>IF(R16="","",IF(OR(R16=1,IF(ISNA(MATCH("מוגן",$I16:R16,0)),FALSE,TRUE)),1,0))</f>
        <v>0</v>
      </c>
      <c r="T16" s="241">
        <f t="shared" si="11"/>
        <v>5.1896944760155397E-2</v>
      </c>
      <c r="U16" s="241" t="str">
        <f t="shared" si="12"/>
        <v>סיום</v>
      </c>
      <c r="V16" s="242">
        <f t="shared" si="13"/>
        <v>5.1896944760155397E-2</v>
      </c>
      <c r="W16" s="240">
        <f t="shared" si="14"/>
        <v>0.96502049078427199</v>
      </c>
      <c r="X16" s="84">
        <f t="shared" si="15"/>
        <v>0</v>
      </c>
      <c r="Y16" s="84">
        <f>IF(X16="","",IF(OR(X16=1,IF(ISNA(MATCH("מוגן",$I16:X16,0)),FALSE,TRUE)),1,0))</f>
        <v>0</v>
      </c>
      <c r="Z16" s="241">
        <f t="shared" si="16"/>
        <v>5.1896944760155397E-2</v>
      </c>
      <c r="AA16" s="241" t="str">
        <f t="shared" si="17"/>
        <v>סיום</v>
      </c>
      <c r="AB16" s="242">
        <f t="shared" si="18"/>
        <v>5.1896944760155397E-2</v>
      </c>
      <c r="AC16" s="240">
        <f t="shared" si="19"/>
        <v>0.96502049078427199</v>
      </c>
      <c r="AD16" s="84">
        <f t="shared" si="20"/>
        <v>0</v>
      </c>
      <c r="AE16" s="84">
        <f>IF(AD16="","",IF(OR(AD16=1,IF(ISNA(MATCH("מוגן",$I16:AD16,0)),FALSE,TRUE)),1,0))</f>
        <v>0</v>
      </c>
      <c r="AF16" s="241">
        <f t="shared" si="21"/>
        <v>5.1896944760155397E-2</v>
      </c>
      <c r="AG16" s="241" t="str">
        <f t="shared" si="22"/>
        <v>סיום</v>
      </c>
      <c r="AH16" s="242">
        <f t="shared" si="23"/>
        <v>5.1896944760155397E-2</v>
      </c>
      <c r="AI16" s="240">
        <f t="shared" si="24"/>
        <v>0.96502049078427199</v>
      </c>
      <c r="AJ16" s="84">
        <f t="shared" si="25"/>
        <v>0</v>
      </c>
      <c r="AK16" s="84">
        <f>IF(AJ16="","",IF(OR(AJ16=1,IF(ISNA(MATCH("מוגן",$I16:AJ16,0)),FALSE,TRUE)),1,0))</f>
        <v>0</v>
      </c>
      <c r="AL16" s="241">
        <f t="shared" si="26"/>
        <v>5.1896944760155397E-2</v>
      </c>
      <c r="AM16" s="241" t="str">
        <f t="shared" si="27"/>
        <v>סיום</v>
      </c>
      <c r="AN16" s="242">
        <f t="shared" si="28"/>
        <v>5.1896944760155397E-2</v>
      </c>
      <c r="AO16" s="240">
        <f t="shared" si="29"/>
        <v>0.96502049078427199</v>
      </c>
      <c r="AP16" s="84">
        <f t="shared" si="30"/>
        <v>0</v>
      </c>
      <c r="AQ16" s="84">
        <f>IF(AP16="","",IF(OR(AP16=1,IF(ISNA(MATCH("מוגן",$I16:AP16,0)),FALSE,TRUE)),1,0))</f>
        <v>0</v>
      </c>
      <c r="AR16" s="241">
        <f t="shared" si="31"/>
        <v>5.1896944760155397E-2</v>
      </c>
      <c r="AS16" s="241" t="str">
        <f t="shared" si="32"/>
        <v>סיום</v>
      </c>
      <c r="AT16" s="242">
        <f t="shared" si="33"/>
        <v>5.1896944760155397E-2</v>
      </c>
      <c r="AU16" s="240">
        <f t="shared" si="34"/>
        <v>0.96502049078427199</v>
      </c>
      <c r="AV16" s="84">
        <f t="shared" si="35"/>
        <v>0</v>
      </c>
      <c r="AW16" s="84">
        <f>IF(AV16="","",IF(OR(AV16=1,IF(ISNA(MATCH("מוגן",$I16:AV16,0)),FALSE,TRUE)),1,0))</f>
        <v>0</v>
      </c>
      <c r="AX16" s="241">
        <f t="shared" si="36"/>
        <v>5.1896944760155397E-2</v>
      </c>
      <c r="AY16" s="241" t="str">
        <f t="shared" si="37"/>
        <v>סיום</v>
      </c>
      <c r="AZ16" s="242">
        <f t="shared" si="38"/>
        <v>5.1896944760155397E-2</v>
      </c>
      <c r="BA16" s="240">
        <f t="shared" si="39"/>
        <v>0.96502049078427199</v>
      </c>
      <c r="BB16" s="84">
        <f t="shared" si="40"/>
        <v>0</v>
      </c>
      <c r="BC16" s="84">
        <f>IF(BB16="","",IF(OR(BB16=1,IF(ISNA(MATCH("מוגן",$I16:BB16,0)),FALSE,TRUE)),1,0))</f>
        <v>0</v>
      </c>
      <c r="BD16" s="241">
        <f t="shared" si="41"/>
        <v>5.1896944760155397E-2</v>
      </c>
      <c r="BE16" s="241" t="str">
        <f t="shared" si="42"/>
        <v>סיום</v>
      </c>
      <c r="BF16" s="242">
        <f t="shared" si="43"/>
        <v>5.1896944760155397E-2</v>
      </c>
      <c r="BG16" s="240">
        <f t="shared" si="44"/>
        <v>0.96502049078427199</v>
      </c>
      <c r="BH16" s="84">
        <f t="shared" si="45"/>
        <v>0</v>
      </c>
      <c r="BI16" s="84">
        <f>IF(BH16="","",IF(OR(BH16=1,IF(ISNA(MATCH("מוגן",$I16:BH16,0)),FALSE,TRUE)),1,0))</f>
        <v>0</v>
      </c>
      <c r="BJ16" s="241">
        <f t="shared" si="46"/>
        <v>5.1896944760155397E-2</v>
      </c>
      <c r="BK16" s="241" t="str">
        <f t="shared" si="47"/>
        <v>סיום</v>
      </c>
      <c r="BL16" s="242">
        <f t="shared" si="48"/>
        <v>5.1896944760155397E-2</v>
      </c>
      <c r="BM16" s="240">
        <f t="shared" si="49"/>
        <v>0.96502049078427199</v>
      </c>
      <c r="BN16" s="84">
        <f t="shared" si="50"/>
        <v>0</v>
      </c>
      <c r="BO16" s="84">
        <f>IF(BN16="","",IF(OR(BN16=1,IF(ISNA(MATCH("מוגן",$I16:BN16,0)),FALSE,TRUE)),1,0))</f>
        <v>0</v>
      </c>
      <c r="BP16" s="241">
        <f t="shared" si="51"/>
        <v>5.1896944760155397E-2</v>
      </c>
      <c r="BQ16" s="241" t="str">
        <f t="shared" si="52"/>
        <v>סיום</v>
      </c>
      <c r="BR16" s="242">
        <f t="shared" si="53"/>
        <v>5.1896944760155397E-2</v>
      </c>
      <c r="BS16" s="240">
        <f t="shared" si="54"/>
        <v>0.96502049078427199</v>
      </c>
      <c r="BT16" s="84">
        <f t="shared" si="55"/>
        <v>0</v>
      </c>
      <c r="BU16" s="84">
        <f>IF(BT16="","",IF(OR(BT16=1,IF(ISNA(MATCH("מוגן",$I16:BT16,0)),FALSE,TRUE)),1,0))</f>
        <v>0</v>
      </c>
      <c r="BV16" s="241">
        <f t="shared" si="56"/>
        <v>5.1896944760155397E-2</v>
      </c>
      <c r="BW16" s="241" t="str">
        <f t="shared" si="57"/>
        <v>סיום</v>
      </c>
      <c r="BX16" s="242">
        <f t="shared" si="58"/>
        <v>5.1896944760155397E-2</v>
      </c>
      <c r="BY16" s="240">
        <f t="shared" si="59"/>
        <v>0.96502049078427199</v>
      </c>
      <c r="BZ16" s="84">
        <f t="shared" si="60"/>
        <v>0</v>
      </c>
      <c r="CA16" s="84">
        <f>IF(BZ16="","",IF(OR(BZ16=1,IF(ISNA(MATCH("מוגן",$I16:BZ16,0)),FALSE,TRUE)),1,0))</f>
        <v>0</v>
      </c>
      <c r="CB16" s="241">
        <f t="shared" si="61"/>
        <v>5.1896944760155397E-2</v>
      </c>
      <c r="CC16" s="241" t="str">
        <f t="shared" si="62"/>
        <v>סיום</v>
      </c>
      <c r="CD16" s="242">
        <f t="shared" si="63"/>
        <v>5.1896944760155397E-2</v>
      </c>
      <c r="CE16" s="240">
        <f t="shared" si="64"/>
        <v>0.96502049078427199</v>
      </c>
      <c r="CF16" s="84">
        <f t="shared" si="65"/>
        <v>0</v>
      </c>
      <c r="CG16" s="84">
        <f>IF(CF16="","",IF(OR(CF16=1,IF(ISNA(MATCH("מוגן",$I16:CF16,0)),FALSE,TRUE)),1,0))</f>
        <v>0</v>
      </c>
      <c r="CH16" s="241">
        <f t="shared" si="66"/>
        <v>5.1896944760155397E-2</v>
      </c>
      <c r="CI16" s="241" t="str">
        <f t="shared" si="67"/>
        <v>סיום</v>
      </c>
      <c r="CJ16" s="242">
        <f t="shared" si="68"/>
        <v>5.1896944760155397E-2</v>
      </c>
      <c r="CK16" s="240">
        <f t="shared" si="69"/>
        <v>0.96502049078427199</v>
      </c>
      <c r="CL16" s="84">
        <f t="shared" si="70"/>
        <v>0</v>
      </c>
      <c r="CM16" s="84">
        <f>IF(CL16="","",IF(OR(CL16=1,IF(ISNA(MATCH("מוגן",$I16:CL16,0)),FALSE,TRUE)),1,0))</f>
        <v>0</v>
      </c>
      <c r="CN16" s="241">
        <f t="shared" si="71"/>
        <v>5.1896944760155397E-2</v>
      </c>
      <c r="CO16" s="241" t="str">
        <f t="shared" si="72"/>
        <v>סיום</v>
      </c>
      <c r="CP16" s="242">
        <f t="shared" si="73"/>
        <v>5.1896944760155397E-2</v>
      </c>
      <c r="CQ16" s="240">
        <f t="shared" si="74"/>
        <v>0.96502049078427199</v>
      </c>
      <c r="CR16" s="84">
        <f t="shared" si="75"/>
        <v>0</v>
      </c>
      <c r="CS16" s="84">
        <f>IF(CR16="","",IF(OR(CR16=1,IF(ISNA(MATCH("מוגן",$I16:CR16,0)),FALSE,TRUE)),1,0))</f>
        <v>0</v>
      </c>
      <c r="CT16" s="241">
        <f t="shared" si="76"/>
        <v>5.1896944760155397E-2</v>
      </c>
      <c r="CU16" s="241" t="str">
        <f t="shared" si="77"/>
        <v>סיום</v>
      </c>
      <c r="CV16" s="242">
        <f t="shared" si="78"/>
        <v>5.1896944760155397E-2</v>
      </c>
      <c r="CW16" s="240">
        <f t="shared" si="79"/>
        <v>0.96502049078427199</v>
      </c>
      <c r="CX16" s="84">
        <f t="shared" si="80"/>
        <v>0</v>
      </c>
      <c r="CY16" s="84">
        <f>IF(CX16="","",IF(OR(CX16=1,IF(ISNA(MATCH("מוגן",$I16:CX16,0)),FALSE,TRUE)),1,0))</f>
        <v>0</v>
      </c>
      <c r="CZ16" s="241">
        <f t="shared" si="81"/>
        <v>5.1896944760155397E-2</v>
      </c>
      <c r="DA16" s="241" t="str">
        <f t="shared" si="82"/>
        <v>סיום</v>
      </c>
      <c r="DB16" s="242">
        <f t="shared" si="83"/>
        <v>5.1896944760155397E-2</v>
      </c>
      <c r="DC16" s="240">
        <f t="shared" si="84"/>
        <v>0.96502049078427199</v>
      </c>
      <c r="DD16" s="84">
        <f t="shared" si="85"/>
        <v>0</v>
      </c>
      <c r="DE16" s="84">
        <f>IF(DD16="","",IF(OR(DD16=1,IF(ISNA(MATCH("מוגן",$I16:DD16,0)),FALSE,TRUE)),1,0))</f>
        <v>0</v>
      </c>
      <c r="DF16" s="241">
        <f t="shared" si="86"/>
        <v>5.1896944760155397E-2</v>
      </c>
      <c r="DG16" s="241" t="str">
        <f t="shared" si="87"/>
        <v>סיום</v>
      </c>
      <c r="DH16" s="242">
        <f t="shared" si="88"/>
        <v>5.1896944760155397E-2</v>
      </c>
      <c r="DI16" s="240">
        <f t="shared" si="89"/>
        <v>0.96502049078427199</v>
      </c>
      <c r="DJ16" s="84">
        <f t="shared" si="90"/>
        <v>0</v>
      </c>
      <c r="DK16" s="84">
        <f>IF(DJ16="","",IF(OR(DJ16=1,IF(ISNA(MATCH("מוגן",$I16:DJ16,0)),FALSE,TRUE)),1,0))</f>
        <v>0</v>
      </c>
      <c r="DL16" s="241">
        <f t="shared" si="91"/>
        <v>5.1896944760155397E-2</v>
      </c>
      <c r="DM16" s="241" t="str">
        <f t="shared" si="92"/>
        <v>סיום</v>
      </c>
      <c r="DN16" s="242">
        <f t="shared" si="93"/>
        <v>5.1896944760155397E-2</v>
      </c>
      <c r="DO16" s="240">
        <f t="shared" si="94"/>
        <v>0.96502049078427199</v>
      </c>
      <c r="DP16" s="84">
        <f t="shared" si="95"/>
        <v>0</v>
      </c>
      <c r="DQ16" s="84">
        <f>IF(DP16="","",IF(OR(DP16=1,IF(ISNA(MATCH("מוגן",$I16:DP16,0)),FALSE,TRUE)),1,0))</f>
        <v>0</v>
      </c>
      <c r="DR16" s="241">
        <f t="shared" si="96"/>
        <v>5.1896944760155397E-2</v>
      </c>
      <c r="DS16" s="241" t="str">
        <f t="shared" si="97"/>
        <v>סיום</v>
      </c>
      <c r="DT16" s="242">
        <f t="shared" si="98"/>
        <v>5.1896944760155397E-2</v>
      </c>
      <c r="DU16" s="240">
        <f t="shared" si="99"/>
        <v>0.96502049078427199</v>
      </c>
      <c r="DV16" s="84">
        <f t="shared" si="100"/>
        <v>0</v>
      </c>
      <c r="DW16" s="84">
        <f>IF(DV16="","",IF(OR(DV16=1,IF(ISNA(MATCH("מוגן",$I16:DV16,0)),FALSE,TRUE)),1,0))</f>
        <v>0</v>
      </c>
      <c r="DX16" s="241">
        <f t="shared" si="101"/>
        <v>5.1896944760155397E-2</v>
      </c>
      <c r="DY16" s="241" t="str">
        <f t="shared" si="102"/>
        <v>סיום</v>
      </c>
      <c r="DZ16" s="242">
        <f t="shared" si="103"/>
        <v>5.1896944760155397E-2</v>
      </c>
      <c r="EA16" s="240">
        <f t="shared" si="104"/>
        <v>0.96502049078427199</v>
      </c>
      <c r="EB16" s="84">
        <f t="shared" si="105"/>
        <v>0</v>
      </c>
      <c r="EC16" s="84">
        <f>IF(EB16="","",IF(OR(EB16=1,IF(ISNA(MATCH("מוגן",$I16:EB16,0)),FALSE,TRUE)),1,0))</f>
        <v>0</v>
      </c>
      <c r="ED16" s="241">
        <f t="shared" si="106"/>
        <v>5.1896944760155397E-2</v>
      </c>
      <c r="EE16" s="241" t="str">
        <f t="shared" si="107"/>
        <v>סיום</v>
      </c>
      <c r="EF16" s="242">
        <f t="shared" si="108"/>
        <v>5.1896944760155397E-2</v>
      </c>
      <c r="EG16" s="240">
        <f t="shared" si="109"/>
        <v>0.96502049078427199</v>
      </c>
      <c r="EH16" s="84">
        <f t="shared" si="110"/>
        <v>0</v>
      </c>
      <c r="EI16" s="84">
        <f>IF(EH16="","",IF(OR(EH16=1,IF(ISNA(MATCH("מוגן",$I16:EH16,0)),FALSE,TRUE)),1,0))</f>
        <v>0</v>
      </c>
      <c r="EJ16" s="241">
        <f t="shared" si="111"/>
        <v>5.1896944760155397E-2</v>
      </c>
      <c r="EK16" s="241" t="str">
        <f t="shared" si="112"/>
        <v>סיום</v>
      </c>
      <c r="EL16" s="242">
        <f t="shared" si="113"/>
        <v>5.1896944760155397E-2</v>
      </c>
      <c r="EM16" s="240">
        <f t="shared" si="114"/>
        <v>0.96502049078427199</v>
      </c>
      <c r="EN16" s="84">
        <f t="shared" si="115"/>
        <v>0</v>
      </c>
      <c r="EO16" s="84">
        <f>IF(EN16="","",IF(OR(EN16=1,IF(ISNA(MATCH("מוגן",$I16:EN16,0)),FALSE,TRUE)),1,0))</f>
        <v>0</v>
      </c>
      <c r="EP16" s="241">
        <f t="shared" si="116"/>
        <v>5.1896944760155397E-2</v>
      </c>
      <c r="EQ16" s="241" t="str">
        <f t="shared" si="117"/>
        <v>סיום</v>
      </c>
      <c r="ER16" s="242">
        <f t="shared" si="118"/>
        <v>5.1896944760155397E-2</v>
      </c>
      <c r="ES16" s="240">
        <f t="shared" si="119"/>
        <v>0.96502049078427199</v>
      </c>
      <c r="ET16" s="84">
        <f t="shared" si="120"/>
        <v>0</v>
      </c>
      <c r="EU16" s="84">
        <f>IF(ET16="","",IF(OR(ET16=1,IF(ISNA(MATCH("מוגן",$I16:ET16,0)),FALSE,TRUE)),1,0))</f>
        <v>0</v>
      </c>
      <c r="EV16" s="241">
        <f t="shared" si="121"/>
        <v>5.1896944760155397E-2</v>
      </c>
      <c r="EW16" s="241" t="str">
        <f t="shared" si="122"/>
        <v>סיום</v>
      </c>
      <c r="EX16" s="242">
        <f t="shared" si="123"/>
        <v>5.1896944760155397E-2</v>
      </c>
      <c r="EY16" s="240">
        <f t="shared" si="124"/>
        <v>0.96502049078427199</v>
      </c>
      <c r="EZ16" s="84">
        <f t="shared" si="125"/>
        <v>0</v>
      </c>
      <c r="FA16" s="84">
        <f>IF(EZ16="","",IF(OR(EZ16=1,IF(ISNA(MATCH("מוגן",$I16:EZ16,0)),FALSE,TRUE)),1,0))</f>
        <v>0</v>
      </c>
      <c r="FB16" s="241">
        <f t="shared" si="126"/>
        <v>5.1896944760155397E-2</v>
      </c>
      <c r="FC16" s="241" t="str">
        <f t="shared" si="127"/>
        <v>סיום</v>
      </c>
      <c r="FD16" s="242">
        <f t="shared" si="128"/>
        <v>5.1896944760155397E-2</v>
      </c>
      <c r="FE16" s="240">
        <f t="shared" si="129"/>
        <v>0.96502049078427199</v>
      </c>
      <c r="FF16" s="84">
        <f t="shared" si="130"/>
        <v>0</v>
      </c>
      <c r="FG16" s="84">
        <f>IF(FF16="","",IF(OR(FF16=1,IF(ISNA(MATCH("מוגן",$I16:FF16,0)),FALSE,TRUE)),1,0))</f>
        <v>0</v>
      </c>
      <c r="FH16" s="241">
        <f t="shared" si="131"/>
        <v>5.1896944760155397E-2</v>
      </c>
      <c r="FI16" s="241" t="str">
        <f t="shared" si="132"/>
        <v>סיום</v>
      </c>
      <c r="FJ16" s="242">
        <f t="shared" si="133"/>
        <v>5.1896944760155397E-2</v>
      </c>
      <c r="FK16" s="240">
        <f t="shared" si="134"/>
        <v>0.96502049078427199</v>
      </c>
      <c r="FL16" s="84">
        <f t="shared" si="135"/>
        <v>0</v>
      </c>
      <c r="FM16" s="84">
        <f>IF(FL16="","",IF(OR(FL16=1,IF(ISNA(MATCH("מוגן",$I16:FL16,0)),FALSE,TRUE)),1,0))</f>
        <v>0</v>
      </c>
      <c r="FN16" s="241">
        <f t="shared" si="136"/>
        <v>5.1896944760155397E-2</v>
      </c>
      <c r="FO16" s="241" t="str">
        <f t="shared" si="137"/>
        <v>סיום</v>
      </c>
      <c r="FP16" s="242">
        <f t="shared" si="138"/>
        <v>5.1896944760155397E-2</v>
      </c>
      <c r="FQ16" s="240">
        <f t="shared" si="139"/>
        <v>0.96502049078427199</v>
      </c>
      <c r="FR16" s="84">
        <f t="shared" si="140"/>
        <v>0</v>
      </c>
      <c r="FS16" s="84">
        <f>IF(FR16="","",IF(OR(FR16=1,IF(ISNA(MATCH("מוגן",$I16:FR16,0)),FALSE,TRUE)),1,0))</f>
        <v>0</v>
      </c>
      <c r="FT16" s="241">
        <f t="shared" si="141"/>
        <v>5.1896944760155397E-2</v>
      </c>
      <c r="FU16" s="241" t="str">
        <f t="shared" si="142"/>
        <v>סיום</v>
      </c>
      <c r="FV16" s="242">
        <f t="shared" si="143"/>
        <v>5.1896944760155397E-2</v>
      </c>
      <c r="FW16" s="240">
        <f t="shared" si="144"/>
        <v>0.96502049078427199</v>
      </c>
      <c r="FX16" s="84">
        <f t="shared" si="145"/>
        <v>0</v>
      </c>
      <c r="FY16" s="84">
        <f>IF(FX16="","",IF(OR(FX16=1,IF(ISNA(MATCH("מוגן",$I16:FX16,0)),FALSE,TRUE)),1,0))</f>
        <v>0</v>
      </c>
      <c r="FZ16" s="241">
        <f t="shared" si="146"/>
        <v>5.1896944760155397E-2</v>
      </c>
      <c r="GA16" s="241" t="str">
        <f t="shared" si="147"/>
        <v>סיום</v>
      </c>
      <c r="GB16" s="242">
        <f t="shared" si="148"/>
        <v>5.1896944760155397E-2</v>
      </c>
      <c r="GC16" s="240">
        <f t="shared" si="149"/>
        <v>0.96502049078427199</v>
      </c>
      <c r="GD16" s="84">
        <f t="shared" si="150"/>
        <v>0</v>
      </c>
      <c r="GE16" s="84">
        <f>IF(GD16="","",IF(OR(GD16=1,IF(ISNA(MATCH("מוגן",$I16:GD16,0)),FALSE,TRUE)),1,0))</f>
        <v>0</v>
      </c>
      <c r="GF16" s="241">
        <f t="shared" si="151"/>
        <v>5.1896944760155397E-2</v>
      </c>
      <c r="GG16" s="241" t="str">
        <f t="shared" si="152"/>
        <v>סיום</v>
      </c>
      <c r="GH16" s="242">
        <f t="shared" si="153"/>
        <v>5.1896944760155397E-2</v>
      </c>
      <c r="GI16" s="240">
        <f t="shared" si="154"/>
        <v>0.96502049078427199</v>
      </c>
      <c r="GJ16" s="84">
        <f t="shared" si="155"/>
        <v>0</v>
      </c>
      <c r="GK16" s="84">
        <f>IF(GJ16="","",IF(OR(GJ16=1,IF(ISNA(MATCH("מוגן",$I16:GJ16,0)),FALSE,TRUE)),1,0))</f>
        <v>0</v>
      </c>
      <c r="GL16" s="241">
        <f t="shared" si="156"/>
        <v>5.1896944760155397E-2</v>
      </c>
      <c r="GM16" s="241" t="str">
        <f t="shared" si="157"/>
        <v>סיום</v>
      </c>
      <c r="GN16" s="242">
        <f t="shared" si="158"/>
        <v>5.1896944760155397E-2</v>
      </c>
      <c r="GO16" s="240">
        <f t="shared" si="159"/>
        <v>0.96502049078427199</v>
      </c>
      <c r="GP16" s="84">
        <f t="shared" si="160"/>
        <v>0</v>
      </c>
      <c r="GQ16" s="84">
        <f>IF(GP16="","",IF(OR(GP16=1,IF(ISNA(MATCH("מוגן",$I16:GP16,0)),FALSE,TRUE)),1,0))</f>
        <v>0</v>
      </c>
      <c r="GR16" s="241">
        <f t="shared" si="161"/>
        <v>5.1896944760155397E-2</v>
      </c>
      <c r="GS16" s="241" t="str">
        <f t="shared" si="162"/>
        <v>סיום</v>
      </c>
      <c r="GT16" s="242">
        <f t="shared" si="163"/>
        <v>5.1896944760155397E-2</v>
      </c>
      <c r="GU16" s="240">
        <f t="shared" si="164"/>
        <v>0.96502049078427199</v>
      </c>
      <c r="GV16" s="84">
        <f t="shared" si="165"/>
        <v>0</v>
      </c>
      <c r="GW16" s="84">
        <f>IF(GV16="","",IF(OR(GV16=1,IF(ISNA(MATCH("מוגן",$I16:GV16,0)),FALSE,TRUE)),1,0))</f>
        <v>0</v>
      </c>
      <c r="GX16" s="241">
        <f t="shared" si="166"/>
        <v>5.1896944760155397E-2</v>
      </c>
      <c r="GY16" s="241" t="str">
        <f t="shared" si="167"/>
        <v>סיום</v>
      </c>
      <c r="GZ16" s="242">
        <f t="shared" si="168"/>
        <v>5.1896944760155397E-2</v>
      </c>
      <c r="HA16" s="119">
        <f t="shared" si="169"/>
        <v>5128560.6535422485</v>
      </c>
      <c r="HB16" s="246" t="str">
        <f t="shared" si="170"/>
        <v>OK</v>
      </c>
      <c r="HC16" s="244">
        <f t="shared" si="171"/>
        <v>0.96502049078427199</v>
      </c>
      <c r="HD16" s="245">
        <f t="shared" si="172"/>
        <v>5.1896944760155397E-2</v>
      </c>
      <c r="HE16" s="111">
        <f t="shared" si="173"/>
        <v>0</v>
      </c>
      <c r="HF16" s="111">
        <f t="shared" si="174"/>
        <v>1</v>
      </c>
      <c r="HG16" s="111" t="b">
        <f>OR(B16="",ISNA(MATCH(C16,{0,1},0)))</f>
        <v>0</v>
      </c>
    </row>
    <row r="17" spans="1:215">
      <c r="A17" s="120">
        <f>ייצוב!A13</f>
        <v>9</v>
      </c>
      <c r="B17" s="121" t="str">
        <f>ייצוב!B13</f>
        <v>תיאטרון אלמידאן</v>
      </c>
      <c r="C17" s="67">
        <v>0</v>
      </c>
      <c r="D17" s="240" t="str">
        <f>ייצוב!E13</f>
        <v>---</v>
      </c>
      <c r="E17" s="240">
        <f>ייצוב!G13</f>
        <v>0</v>
      </c>
      <c r="F17" s="240" t="str">
        <f t="shared" si="0"/>
        <v/>
      </c>
      <c r="G17" s="84" t="str">
        <f t="shared" si="1"/>
        <v/>
      </c>
      <c r="H17" s="241" t="str">
        <f t="shared" si="2"/>
        <v/>
      </c>
      <c r="I17" s="241" t="str">
        <f t="array" ref="I17">IF(H17="","",IF(G17=1,"מוגן",H17/SUMIF(G$9:G$41,"=0",H$9:H$41)))</f>
        <v/>
      </c>
      <c r="J17" s="242" t="str">
        <f t="shared" si="3"/>
        <v/>
      </c>
      <c r="K17" s="240" t="str">
        <f t="shared" si="4"/>
        <v/>
      </c>
      <c r="L17" s="84" t="str">
        <f t="shared" si="5"/>
        <v/>
      </c>
      <c r="M17" s="84" t="str">
        <f>IF(L17="","",IF(OR(L17=1,IF(ISNA(MATCH("מוגן",$I17:L17,0)),FALSE,TRUE)),1,0))</f>
        <v/>
      </c>
      <c r="N17" s="241" t="str">
        <f t="shared" si="6"/>
        <v/>
      </c>
      <c r="O17" s="241" t="str">
        <f t="shared" si="7"/>
        <v/>
      </c>
      <c r="P17" s="242" t="str">
        <f t="shared" si="8"/>
        <v/>
      </c>
      <c r="Q17" s="240" t="str">
        <f t="shared" si="9"/>
        <v/>
      </c>
      <c r="R17" s="84" t="str">
        <f t="shared" si="10"/>
        <v/>
      </c>
      <c r="S17" s="84" t="str">
        <f>IF(R17="","",IF(OR(R17=1,IF(ISNA(MATCH("מוגן",$I17:R17,0)),FALSE,TRUE)),1,0))</f>
        <v/>
      </c>
      <c r="T17" s="241" t="str">
        <f t="shared" si="11"/>
        <v/>
      </c>
      <c r="U17" s="241" t="str">
        <f t="shared" si="12"/>
        <v/>
      </c>
      <c r="V17" s="242" t="str">
        <f t="shared" si="13"/>
        <v/>
      </c>
      <c r="W17" s="240" t="str">
        <f t="shared" si="14"/>
        <v/>
      </c>
      <c r="X17" s="84" t="str">
        <f t="shared" si="15"/>
        <v/>
      </c>
      <c r="Y17" s="84" t="str">
        <f>IF(X17="","",IF(OR(X17=1,IF(ISNA(MATCH("מוגן",$I17:X17,0)),FALSE,TRUE)),1,0))</f>
        <v/>
      </c>
      <c r="Z17" s="241" t="str">
        <f t="shared" si="16"/>
        <v/>
      </c>
      <c r="AA17" s="241" t="str">
        <f t="shared" si="17"/>
        <v/>
      </c>
      <c r="AB17" s="242" t="str">
        <f t="shared" si="18"/>
        <v/>
      </c>
      <c r="AC17" s="240" t="str">
        <f t="shared" si="19"/>
        <v/>
      </c>
      <c r="AD17" s="84" t="str">
        <f t="shared" si="20"/>
        <v/>
      </c>
      <c r="AE17" s="84" t="str">
        <f>IF(AD17="","",IF(OR(AD17=1,IF(ISNA(MATCH("מוגן",$I17:AD17,0)),FALSE,TRUE)),1,0))</f>
        <v/>
      </c>
      <c r="AF17" s="241" t="str">
        <f t="shared" si="21"/>
        <v/>
      </c>
      <c r="AG17" s="241" t="str">
        <f t="shared" si="22"/>
        <v/>
      </c>
      <c r="AH17" s="242" t="str">
        <f t="shared" si="23"/>
        <v/>
      </c>
      <c r="AI17" s="240" t="str">
        <f t="shared" si="24"/>
        <v/>
      </c>
      <c r="AJ17" s="84" t="str">
        <f t="shared" si="25"/>
        <v/>
      </c>
      <c r="AK17" s="84" t="str">
        <f>IF(AJ17="","",IF(OR(AJ17=1,IF(ISNA(MATCH("מוגן",$I17:AJ17,0)),FALSE,TRUE)),1,0))</f>
        <v/>
      </c>
      <c r="AL17" s="241" t="str">
        <f t="shared" si="26"/>
        <v/>
      </c>
      <c r="AM17" s="241" t="str">
        <f t="shared" si="27"/>
        <v/>
      </c>
      <c r="AN17" s="242" t="str">
        <f t="shared" si="28"/>
        <v/>
      </c>
      <c r="AO17" s="240" t="str">
        <f t="shared" si="29"/>
        <v/>
      </c>
      <c r="AP17" s="84" t="str">
        <f t="shared" si="30"/>
        <v/>
      </c>
      <c r="AQ17" s="84" t="str">
        <f>IF(AP17="","",IF(OR(AP17=1,IF(ISNA(MATCH("מוגן",$I17:AP17,0)),FALSE,TRUE)),1,0))</f>
        <v/>
      </c>
      <c r="AR17" s="241" t="str">
        <f t="shared" si="31"/>
        <v/>
      </c>
      <c r="AS17" s="241" t="str">
        <f t="shared" si="32"/>
        <v/>
      </c>
      <c r="AT17" s="242" t="str">
        <f t="shared" si="33"/>
        <v/>
      </c>
      <c r="AU17" s="240" t="str">
        <f t="shared" si="34"/>
        <v/>
      </c>
      <c r="AV17" s="84" t="str">
        <f t="shared" si="35"/>
        <v/>
      </c>
      <c r="AW17" s="84" t="str">
        <f>IF(AV17="","",IF(OR(AV17=1,IF(ISNA(MATCH("מוגן",$I17:AV17,0)),FALSE,TRUE)),1,0))</f>
        <v/>
      </c>
      <c r="AX17" s="241" t="str">
        <f t="shared" si="36"/>
        <v/>
      </c>
      <c r="AY17" s="241" t="str">
        <f t="shared" si="37"/>
        <v/>
      </c>
      <c r="AZ17" s="242" t="str">
        <f t="shared" si="38"/>
        <v/>
      </c>
      <c r="BA17" s="240" t="str">
        <f t="shared" si="39"/>
        <v/>
      </c>
      <c r="BB17" s="84" t="str">
        <f t="shared" si="40"/>
        <v/>
      </c>
      <c r="BC17" s="84" t="str">
        <f>IF(BB17="","",IF(OR(BB17=1,IF(ISNA(MATCH("מוגן",$I17:BB17,0)),FALSE,TRUE)),1,0))</f>
        <v/>
      </c>
      <c r="BD17" s="241" t="str">
        <f t="shared" si="41"/>
        <v/>
      </c>
      <c r="BE17" s="241" t="str">
        <f t="shared" si="42"/>
        <v/>
      </c>
      <c r="BF17" s="242" t="str">
        <f t="shared" si="43"/>
        <v/>
      </c>
      <c r="BG17" s="240" t="str">
        <f t="shared" si="44"/>
        <v/>
      </c>
      <c r="BH17" s="84" t="str">
        <f t="shared" si="45"/>
        <v/>
      </c>
      <c r="BI17" s="84" t="str">
        <f>IF(BH17="","",IF(OR(BH17=1,IF(ISNA(MATCH("מוגן",$I17:BH17,0)),FALSE,TRUE)),1,0))</f>
        <v/>
      </c>
      <c r="BJ17" s="241" t="str">
        <f t="shared" si="46"/>
        <v/>
      </c>
      <c r="BK17" s="241" t="str">
        <f t="shared" si="47"/>
        <v/>
      </c>
      <c r="BL17" s="242" t="str">
        <f t="shared" si="48"/>
        <v/>
      </c>
      <c r="BM17" s="240" t="str">
        <f t="shared" si="49"/>
        <v/>
      </c>
      <c r="BN17" s="84" t="str">
        <f t="shared" si="50"/>
        <v/>
      </c>
      <c r="BO17" s="84" t="str">
        <f>IF(BN17="","",IF(OR(BN17=1,IF(ISNA(MATCH("מוגן",$I17:BN17,0)),FALSE,TRUE)),1,0))</f>
        <v/>
      </c>
      <c r="BP17" s="241" t="str">
        <f t="shared" si="51"/>
        <v/>
      </c>
      <c r="BQ17" s="241" t="str">
        <f t="shared" si="52"/>
        <v/>
      </c>
      <c r="BR17" s="242" t="str">
        <f t="shared" si="53"/>
        <v/>
      </c>
      <c r="BS17" s="240" t="str">
        <f t="shared" si="54"/>
        <v/>
      </c>
      <c r="BT17" s="84" t="str">
        <f t="shared" si="55"/>
        <v/>
      </c>
      <c r="BU17" s="84" t="str">
        <f>IF(BT17="","",IF(OR(BT17=1,IF(ISNA(MATCH("מוגן",$I17:BT17,0)),FALSE,TRUE)),1,0))</f>
        <v/>
      </c>
      <c r="BV17" s="241" t="str">
        <f t="shared" si="56"/>
        <v/>
      </c>
      <c r="BW17" s="241" t="str">
        <f t="shared" si="57"/>
        <v/>
      </c>
      <c r="BX17" s="242" t="str">
        <f t="shared" si="58"/>
        <v/>
      </c>
      <c r="BY17" s="240" t="str">
        <f t="shared" si="59"/>
        <v/>
      </c>
      <c r="BZ17" s="84" t="str">
        <f t="shared" si="60"/>
        <v/>
      </c>
      <c r="CA17" s="84" t="str">
        <f>IF(BZ17="","",IF(OR(BZ17=1,IF(ISNA(MATCH("מוגן",$I17:BZ17,0)),FALSE,TRUE)),1,0))</f>
        <v/>
      </c>
      <c r="CB17" s="241" t="str">
        <f t="shared" si="61"/>
        <v/>
      </c>
      <c r="CC17" s="241" t="str">
        <f t="shared" si="62"/>
        <v/>
      </c>
      <c r="CD17" s="242" t="str">
        <f t="shared" si="63"/>
        <v/>
      </c>
      <c r="CE17" s="240" t="str">
        <f t="shared" si="64"/>
        <v/>
      </c>
      <c r="CF17" s="84" t="str">
        <f t="shared" si="65"/>
        <v/>
      </c>
      <c r="CG17" s="84" t="str">
        <f>IF(CF17="","",IF(OR(CF17=1,IF(ISNA(MATCH("מוגן",$I17:CF17,0)),FALSE,TRUE)),1,0))</f>
        <v/>
      </c>
      <c r="CH17" s="241" t="str">
        <f t="shared" si="66"/>
        <v/>
      </c>
      <c r="CI17" s="241" t="str">
        <f t="shared" si="67"/>
        <v/>
      </c>
      <c r="CJ17" s="242" t="str">
        <f t="shared" si="68"/>
        <v/>
      </c>
      <c r="CK17" s="240" t="str">
        <f t="shared" si="69"/>
        <v/>
      </c>
      <c r="CL17" s="84" t="str">
        <f t="shared" si="70"/>
        <v/>
      </c>
      <c r="CM17" s="84" t="str">
        <f>IF(CL17="","",IF(OR(CL17=1,IF(ISNA(MATCH("מוגן",$I17:CL17,0)),FALSE,TRUE)),1,0))</f>
        <v/>
      </c>
      <c r="CN17" s="241" t="str">
        <f t="shared" si="71"/>
        <v/>
      </c>
      <c r="CO17" s="241" t="str">
        <f t="shared" si="72"/>
        <v/>
      </c>
      <c r="CP17" s="242" t="str">
        <f t="shared" si="73"/>
        <v/>
      </c>
      <c r="CQ17" s="240" t="str">
        <f t="shared" si="74"/>
        <v/>
      </c>
      <c r="CR17" s="84" t="str">
        <f t="shared" si="75"/>
        <v/>
      </c>
      <c r="CS17" s="84" t="str">
        <f>IF(CR17="","",IF(OR(CR17=1,IF(ISNA(MATCH("מוגן",$I17:CR17,0)),FALSE,TRUE)),1,0))</f>
        <v/>
      </c>
      <c r="CT17" s="241" t="str">
        <f t="shared" si="76"/>
        <v/>
      </c>
      <c r="CU17" s="241" t="str">
        <f t="shared" si="77"/>
        <v/>
      </c>
      <c r="CV17" s="242" t="str">
        <f t="shared" si="78"/>
        <v/>
      </c>
      <c r="CW17" s="240" t="str">
        <f t="shared" si="79"/>
        <v/>
      </c>
      <c r="CX17" s="84" t="str">
        <f t="shared" si="80"/>
        <v/>
      </c>
      <c r="CY17" s="84" t="str">
        <f>IF(CX17="","",IF(OR(CX17=1,IF(ISNA(MATCH("מוגן",$I17:CX17,0)),FALSE,TRUE)),1,0))</f>
        <v/>
      </c>
      <c r="CZ17" s="241" t="str">
        <f t="shared" si="81"/>
        <v/>
      </c>
      <c r="DA17" s="241" t="str">
        <f t="shared" si="82"/>
        <v/>
      </c>
      <c r="DB17" s="242" t="str">
        <f t="shared" si="83"/>
        <v/>
      </c>
      <c r="DC17" s="240" t="str">
        <f t="shared" si="84"/>
        <v/>
      </c>
      <c r="DD17" s="84" t="str">
        <f t="shared" si="85"/>
        <v/>
      </c>
      <c r="DE17" s="84" t="str">
        <f>IF(DD17="","",IF(OR(DD17=1,IF(ISNA(MATCH("מוגן",$I17:DD17,0)),FALSE,TRUE)),1,0))</f>
        <v/>
      </c>
      <c r="DF17" s="241" t="str">
        <f t="shared" si="86"/>
        <v/>
      </c>
      <c r="DG17" s="241" t="str">
        <f t="shared" si="87"/>
        <v/>
      </c>
      <c r="DH17" s="242" t="str">
        <f t="shared" si="88"/>
        <v/>
      </c>
      <c r="DI17" s="240" t="str">
        <f t="shared" si="89"/>
        <v/>
      </c>
      <c r="DJ17" s="84" t="str">
        <f t="shared" si="90"/>
        <v/>
      </c>
      <c r="DK17" s="84" t="str">
        <f>IF(DJ17="","",IF(OR(DJ17=1,IF(ISNA(MATCH("מוגן",$I17:DJ17,0)),FALSE,TRUE)),1,0))</f>
        <v/>
      </c>
      <c r="DL17" s="241" t="str">
        <f t="shared" si="91"/>
        <v/>
      </c>
      <c r="DM17" s="241" t="str">
        <f t="shared" si="92"/>
        <v/>
      </c>
      <c r="DN17" s="242" t="str">
        <f t="shared" si="93"/>
        <v/>
      </c>
      <c r="DO17" s="240" t="str">
        <f t="shared" si="94"/>
        <v/>
      </c>
      <c r="DP17" s="84" t="str">
        <f t="shared" si="95"/>
        <v/>
      </c>
      <c r="DQ17" s="84" t="str">
        <f>IF(DP17="","",IF(OR(DP17=1,IF(ISNA(MATCH("מוגן",$I17:DP17,0)),FALSE,TRUE)),1,0))</f>
        <v/>
      </c>
      <c r="DR17" s="241" t="str">
        <f t="shared" si="96"/>
        <v/>
      </c>
      <c r="DS17" s="241" t="str">
        <f t="shared" si="97"/>
        <v/>
      </c>
      <c r="DT17" s="242" t="str">
        <f t="shared" si="98"/>
        <v/>
      </c>
      <c r="DU17" s="240" t="str">
        <f t="shared" si="99"/>
        <v/>
      </c>
      <c r="DV17" s="84" t="str">
        <f t="shared" si="100"/>
        <v/>
      </c>
      <c r="DW17" s="84" t="str">
        <f>IF(DV17="","",IF(OR(DV17=1,IF(ISNA(MATCH("מוגן",$I17:DV17,0)),FALSE,TRUE)),1,0))</f>
        <v/>
      </c>
      <c r="DX17" s="241" t="str">
        <f t="shared" si="101"/>
        <v/>
      </c>
      <c r="DY17" s="241" t="str">
        <f t="shared" si="102"/>
        <v/>
      </c>
      <c r="DZ17" s="242" t="str">
        <f t="shared" si="103"/>
        <v/>
      </c>
      <c r="EA17" s="240" t="str">
        <f t="shared" si="104"/>
        <v/>
      </c>
      <c r="EB17" s="84" t="str">
        <f t="shared" si="105"/>
        <v/>
      </c>
      <c r="EC17" s="84" t="str">
        <f>IF(EB17="","",IF(OR(EB17=1,IF(ISNA(MATCH("מוגן",$I17:EB17,0)),FALSE,TRUE)),1,0))</f>
        <v/>
      </c>
      <c r="ED17" s="241" t="str">
        <f t="shared" si="106"/>
        <v/>
      </c>
      <c r="EE17" s="241" t="str">
        <f t="shared" si="107"/>
        <v/>
      </c>
      <c r="EF17" s="242" t="str">
        <f t="shared" si="108"/>
        <v/>
      </c>
      <c r="EG17" s="240" t="str">
        <f t="shared" si="109"/>
        <v/>
      </c>
      <c r="EH17" s="84" t="str">
        <f t="shared" si="110"/>
        <v/>
      </c>
      <c r="EI17" s="84" t="str">
        <f>IF(EH17="","",IF(OR(EH17=1,IF(ISNA(MATCH("מוגן",$I17:EH17,0)),FALSE,TRUE)),1,0))</f>
        <v/>
      </c>
      <c r="EJ17" s="241" t="str">
        <f t="shared" si="111"/>
        <v/>
      </c>
      <c r="EK17" s="241" t="str">
        <f t="shared" si="112"/>
        <v/>
      </c>
      <c r="EL17" s="242" t="str">
        <f t="shared" si="113"/>
        <v/>
      </c>
      <c r="EM17" s="240" t="str">
        <f t="shared" si="114"/>
        <v/>
      </c>
      <c r="EN17" s="84" t="str">
        <f t="shared" si="115"/>
        <v/>
      </c>
      <c r="EO17" s="84" t="str">
        <f>IF(EN17="","",IF(OR(EN17=1,IF(ISNA(MATCH("מוגן",$I17:EN17,0)),FALSE,TRUE)),1,0))</f>
        <v/>
      </c>
      <c r="EP17" s="241" t="str">
        <f t="shared" si="116"/>
        <v/>
      </c>
      <c r="EQ17" s="241" t="str">
        <f t="shared" si="117"/>
        <v/>
      </c>
      <c r="ER17" s="242" t="str">
        <f t="shared" si="118"/>
        <v/>
      </c>
      <c r="ES17" s="240" t="str">
        <f t="shared" si="119"/>
        <v/>
      </c>
      <c r="ET17" s="84" t="str">
        <f t="shared" si="120"/>
        <v/>
      </c>
      <c r="EU17" s="84" t="str">
        <f>IF(ET17="","",IF(OR(ET17=1,IF(ISNA(MATCH("מוגן",$I17:ET17,0)),FALSE,TRUE)),1,0))</f>
        <v/>
      </c>
      <c r="EV17" s="241" t="str">
        <f t="shared" si="121"/>
        <v/>
      </c>
      <c r="EW17" s="241" t="str">
        <f t="shared" si="122"/>
        <v/>
      </c>
      <c r="EX17" s="242" t="str">
        <f t="shared" si="123"/>
        <v/>
      </c>
      <c r="EY17" s="240" t="str">
        <f t="shared" si="124"/>
        <v/>
      </c>
      <c r="EZ17" s="84" t="str">
        <f t="shared" si="125"/>
        <v/>
      </c>
      <c r="FA17" s="84" t="str">
        <f>IF(EZ17="","",IF(OR(EZ17=1,IF(ISNA(MATCH("מוגן",$I17:EZ17,0)),FALSE,TRUE)),1,0))</f>
        <v/>
      </c>
      <c r="FB17" s="241" t="str">
        <f t="shared" si="126"/>
        <v/>
      </c>
      <c r="FC17" s="241" t="str">
        <f t="shared" si="127"/>
        <v/>
      </c>
      <c r="FD17" s="242" t="str">
        <f t="shared" si="128"/>
        <v/>
      </c>
      <c r="FE17" s="240" t="str">
        <f t="shared" si="129"/>
        <v/>
      </c>
      <c r="FF17" s="84" t="str">
        <f t="shared" si="130"/>
        <v/>
      </c>
      <c r="FG17" s="84" t="str">
        <f>IF(FF17="","",IF(OR(FF17=1,IF(ISNA(MATCH("מוגן",$I17:FF17,0)),FALSE,TRUE)),1,0))</f>
        <v/>
      </c>
      <c r="FH17" s="241" t="str">
        <f t="shared" si="131"/>
        <v/>
      </c>
      <c r="FI17" s="241" t="str">
        <f t="shared" si="132"/>
        <v/>
      </c>
      <c r="FJ17" s="242" t="str">
        <f t="shared" si="133"/>
        <v/>
      </c>
      <c r="FK17" s="240" t="str">
        <f t="shared" si="134"/>
        <v/>
      </c>
      <c r="FL17" s="84" t="str">
        <f t="shared" si="135"/>
        <v/>
      </c>
      <c r="FM17" s="84" t="str">
        <f>IF(FL17="","",IF(OR(FL17=1,IF(ISNA(MATCH("מוגן",$I17:FL17,0)),FALSE,TRUE)),1,0))</f>
        <v/>
      </c>
      <c r="FN17" s="241" t="str">
        <f t="shared" si="136"/>
        <v/>
      </c>
      <c r="FO17" s="241" t="str">
        <f t="shared" si="137"/>
        <v/>
      </c>
      <c r="FP17" s="242" t="str">
        <f t="shared" si="138"/>
        <v/>
      </c>
      <c r="FQ17" s="240" t="str">
        <f t="shared" si="139"/>
        <v/>
      </c>
      <c r="FR17" s="84" t="str">
        <f t="shared" si="140"/>
        <v/>
      </c>
      <c r="FS17" s="84" t="str">
        <f>IF(FR17="","",IF(OR(FR17=1,IF(ISNA(MATCH("מוגן",$I17:FR17,0)),FALSE,TRUE)),1,0))</f>
        <v/>
      </c>
      <c r="FT17" s="241" t="str">
        <f t="shared" si="141"/>
        <v/>
      </c>
      <c r="FU17" s="241" t="str">
        <f t="shared" si="142"/>
        <v/>
      </c>
      <c r="FV17" s="242" t="str">
        <f t="shared" si="143"/>
        <v/>
      </c>
      <c r="FW17" s="240" t="str">
        <f t="shared" si="144"/>
        <v/>
      </c>
      <c r="FX17" s="84" t="str">
        <f t="shared" si="145"/>
        <v/>
      </c>
      <c r="FY17" s="84" t="str">
        <f>IF(FX17="","",IF(OR(FX17=1,IF(ISNA(MATCH("מוגן",$I17:FX17,0)),FALSE,TRUE)),1,0))</f>
        <v/>
      </c>
      <c r="FZ17" s="241" t="str">
        <f t="shared" si="146"/>
        <v/>
      </c>
      <c r="GA17" s="241" t="str">
        <f t="shared" si="147"/>
        <v/>
      </c>
      <c r="GB17" s="242" t="str">
        <f t="shared" si="148"/>
        <v/>
      </c>
      <c r="GC17" s="240" t="str">
        <f t="shared" si="149"/>
        <v/>
      </c>
      <c r="GD17" s="84" t="str">
        <f t="shared" si="150"/>
        <v/>
      </c>
      <c r="GE17" s="84" t="str">
        <f>IF(GD17="","",IF(OR(GD17=1,IF(ISNA(MATCH("מוגן",$I17:GD17,0)),FALSE,TRUE)),1,0))</f>
        <v/>
      </c>
      <c r="GF17" s="241" t="str">
        <f t="shared" si="151"/>
        <v/>
      </c>
      <c r="GG17" s="241" t="str">
        <f t="shared" si="152"/>
        <v/>
      </c>
      <c r="GH17" s="242" t="str">
        <f t="shared" si="153"/>
        <v/>
      </c>
      <c r="GI17" s="240" t="str">
        <f t="shared" si="154"/>
        <v/>
      </c>
      <c r="GJ17" s="84" t="str">
        <f t="shared" si="155"/>
        <v/>
      </c>
      <c r="GK17" s="84" t="str">
        <f>IF(GJ17="","",IF(OR(GJ17=1,IF(ISNA(MATCH("מוגן",$I17:GJ17,0)),FALSE,TRUE)),1,0))</f>
        <v/>
      </c>
      <c r="GL17" s="241" t="str">
        <f t="shared" si="156"/>
        <v/>
      </c>
      <c r="GM17" s="241" t="str">
        <f t="shared" si="157"/>
        <v/>
      </c>
      <c r="GN17" s="242" t="str">
        <f t="shared" si="158"/>
        <v/>
      </c>
      <c r="GO17" s="240" t="str">
        <f t="shared" si="159"/>
        <v/>
      </c>
      <c r="GP17" s="84" t="str">
        <f t="shared" si="160"/>
        <v/>
      </c>
      <c r="GQ17" s="84" t="str">
        <f>IF(GP17="","",IF(OR(GP17=1,IF(ISNA(MATCH("מוגן",$I17:GP17,0)),FALSE,TRUE)),1,0))</f>
        <v/>
      </c>
      <c r="GR17" s="241" t="str">
        <f t="shared" si="161"/>
        <v/>
      </c>
      <c r="GS17" s="241" t="str">
        <f t="shared" si="162"/>
        <v/>
      </c>
      <c r="GT17" s="242" t="str">
        <f t="shared" si="163"/>
        <v/>
      </c>
      <c r="GU17" s="240" t="str">
        <f t="shared" si="164"/>
        <v/>
      </c>
      <c r="GV17" s="84" t="str">
        <f t="shared" si="165"/>
        <v/>
      </c>
      <c r="GW17" s="84" t="str">
        <f>IF(GV17="","",IF(OR(GV17=1,IF(ISNA(MATCH("מוגן",$I17:GV17,0)),FALSE,TRUE)),1,0))</f>
        <v/>
      </c>
      <c r="GX17" s="241" t="str">
        <f t="shared" si="166"/>
        <v/>
      </c>
      <c r="GY17" s="241" t="str">
        <f t="shared" si="167"/>
        <v/>
      </c>
      <c r="GZ17" s="242" t="str">
        <f t="shared" si="168"/>
        <v/>
      </c>
      <c r="HA17" s="119">
        <f t="shared" si="169"/>
        <v>0</v>
      </c>
      <c r="HB17" s="246" t="str">
        <f t="shared" si="170"/>
        <v>OK</v>
      </c>
      <c r="HC17" s="244" t="str">
        <f t="shared" si="171"/>
        <v/>
      </c>
      <c r="HD17" s="245" t="str">
        <f t="shared" si="172"/>
        <v/>
      </c>
      <c r="HE17" s="111">
        <f t="shared" si="173"/>
        <v>0</v>
      </c>
      <c r="HF17" s="111">
        <f t="shared" si="174"/>
        <v>1</v>
      </c>
      <c r="HG17" s="111" t="b">
        <f>OR(B17="",ISNA(MATCH(C17,{0,1},0)))</f>
        <v>0</v>
      </c>
    </row>
    <row r="18" spans="1:215">
      <c r="A18" s="120">
        <f>ייצוב!A14</f>
        <v>10</v>
      </c>
      <c r="B18" s="121" t="str">
        <f>ייצוב!B14</f>
        <v>הזירה הבין תחומית</v>
      </c>
      <c r="C18" s="67"/>
      <c r="D18" s="240">
        <f>ייצוב!E14</f>
        <v>8.7291199220548045E-3</v>
      </c>
      <c r="E18" s="240">
        <f>ייצוב!G14</f>
        <v>8.251752020529482E-3</v>
      </c>
      <c r="F18" s="240">
        <f t="shared" si="0"/>
        <v>0.94531316950759092</v>
      </c>
      <c r="G18" s="84">
        <f t="shared" si="1"/>
        <v>0</v>
      </c>
      <c r="H18" s="241">
        <f t="shared" si="2"/>
        <v>8.251752020529482E-3</v>
      </c>
      <c r="I18" s="241">
        <f t="array" ref="I18">IF(H18="","",IF(G18=1,"מוגן",H18/SUMIF(G$9:G$41,"=0",H$9:H$41)))</f>
        <v>8.251752020529482E-3</v>
      </c>
      <c r="J18" s="242">
        <f t="shared" si="3"/>
        <v>8.251752020529482E-3</v>
      </c>
      <c r="K18" s="240">
        <f t="shared" si="4"/>
        <v>0.94531316950759092</v>
      </c>
      <c r="L18" s="84">
        <f t="shared" si="5"/>
        <v>0</v>
      </c>
      <c r="M18" s="84">
        <f>IF(L18="","",IF(OR(L18=1,IF(ISNA(MATCH("מוגן",$I18:L18,0)),FALSE,TRUE)),1,0))</f>
        <v>0</v>
      </c>
      <c r="N18" s="241">
        <f t="shared" si="6"/>
        <v>8.251752020529482E-3</v>
      </c>
      <c r="O18" s="241" t="str">
        <f t="shared" si="7"/>
        <v>סיום</v>
      </c>
      <c r="P18" s="242">
        <f t="shared" si="8"/>
        <v>8.251752020529482E-3</v>
      </c>
      <c r="Q18" s="240">
        <f t="shared" si="9"/>
        <v>0.94531316950759092</v>
      </c>
      <c r="R18" s="84">
        <f t="shared" si="10"/>
        <v>0</v>
      </c>
      <c r="S18" s="84">
        <f>IF(R18="","",IF(OR(R18=1,IF(ISNA(MATCH("מוגן",$I18:R18,0)),FALSE,TRUE)),1,0))</f>
        <v>0</v>
      </c>
      <c r="T18" s="241">
        <f t="shared" si="11"/>
        <v>8.251752020529482E-3</v>
      </c>
      <c r="U18" s="241" t="str">
        <f t="shared" si="12"/>
        <v>סיום</v>
      </c>
      <c r="V18" s="242">
        <f t="shared" si="13"/>
        <v>8.251752020529482E-3</v>
      </c>
      <c r="W18" s="240">
        <f t="shared" si="14"/>
        <v>0.94531316950759092</v>
      </c>
      <c r="X18" s="84">
        <f t="shared" si="15"/>
        <v>0</v>
      </c>
      <c r="Y18" s="84">
        <f>IF(X18="","",IF(OR(X18=1,IF(ISNA(MATCH("מוגן",$I18:X18,0)),FALSE,TRUE)),1,0))</f>
        <v>0</v>
      </c>
      <c r="Z18" s="241">
        <f t="shared" si="16"/>
        <v>8.251752020529482E-3</v>
      </c>
      <c r="AA18" s="241" t="str">
        <f t="shared" si="17"/>
        <v>סיום</v>
      </c>
      <c r="AB18" s="242">
        <f t="shared" si="18"/>
        <v>8.251752020529482E-3</v>
      </c>
      <c r="AC18" s="240">
        <f t="shared" si="19"/>
        <v>0.94531316950759092</v>
      </c>
      <c r="AD18" s="84">
        <f t="shared" si="20"/>
        <v>0</v>
      </c>
      <c r="AE18" s="84">
        <f>IF(AD18="","",IF(OR(AD18=1,IF(ISNA(MATCH("מוגן",$I18:AD18,0)),FALSE,TRUE)),1,0))</f>
        <v>0</v>
      </c>
      <c r="AF18" s="241">
        <f t="shared" si="21"/>
        <v>8.251752020529482E-3</v>
      </c>
      <c r="AG18" s="241" t="str">
        <f t="shared" si="22"/>
        <v>סיום</v>
      </c>
      <c r="AH18" s="242">
        <f t="shared" si="23"/>
        <v>8.251752020529482E-3</v>
      </c>
      <c r="AI18" s="240">
        <f t="shared" si="24"/>
        <v>0.94531316950759092</v>
      </c>
      <c r="AJ18" s="84">
        <f t="shared" si="25"/>
        <v>0</v>
      </c>
      <c r="AK18" s="84">
        <f>IF(AJ18="","",IF(OR(AJ18=1,IF(ISNA(MATCH("מוגן",$I18:AJ18,0)),FALSE,TRUE)),1,0))</f>
        <v>0</v>
      </c>
      <c r="AL18" s="241">
        <f t="shared" si="26"/>
        <v>8.251752020529482E-3</v>
      </c>
      <c r="AM18" s="241" t="str">
        <f t="shared" si="27"/>
        <v>סיום</v>
      </c>
      <c r="AN18" s="242">
        <f t="shared" si="28"/>
        <v>8.251752020529482E-3</v>
      </c>
      <c r="AO18" s="240">
        <f t="shared" si="29"/>
        <v>0.94531316950759092</v>
      </c>
      <c r="AP18" s="84">
        <f t="shared" si="30"/>
        <v>0</v>
      </c>
      <c r="AQ18" s="84">
        <f>IF(AP18="","",IF(OR(AP18=1,IF(ISNA(MATCH("מוגן",$I18:AP18,0)),FALSE,TRUE)),1,0))</f>
        <v>0</v>
      </c>
      <c r="AR18" s="241">
        <f t="shared" si="31"/>
        <v>8.251752020529482E-3</v>
      </c>
      <c r="AS18" s="241" t="str">
        <f t="shared" si="32"/>
        <v>סיום</v>
      </c>
      <c r="AT18" s="242">
        <f t="shared" si="33"/>
        <v>8.251752020529482E-3</v>
      </c>
      <c r="AU18" s="240">
        <f t="shared" si="34"/>
        <v>0.94531316950759092</v>
      </c>
      <c r="AV18" s="84">
        <f t="shared" si="35"/>
        <v>0</v>
      </c>
      <c r="AW18" s="84">
        <f>IF(AV18="","",IF(OR(AV18=1,IF(ISNA(MATCH("מוגן",$I18:AV18,0)),FALSE,TRUE)),1,0))</f>
        <v>0</v>
      </c>
      <c r="AX18" s="241">
        <f t="shared" si="36"/>
        <v>8.251752020529482E-3</v>
      </c>
      <c r="AY18" s="241" t="str">
        <f t="shared" si="37"/>
        <v>סיום</v>
      </c>
      <c r="AZ18" s="242">
        <f t="shared" si="38"/>
        <v>8.251752020529482E-3</v>
      </c>
      <c r="BA18" s="240">
        <f t="shared" si="39"/>
        <v>0.94531316950759092</v>
      </c>
      <c r="BB18" s="84">
        <f t="shared" si="40"/>
        <v>0</v>
      </c>
      <c r="BC18" s="84">
        <f>IF(BB18="","",IF(OR(BB18=1,IF(ISNA(MATCH("מוגן",$I18:BB18,0)),FALSE,TRUE)),1,0))</f>
        <v>0</v>
      </c>
      <c r="BD18" s="241">
        <f t="shared" si="41"/>
        <v>8.251752020529482E-3</v>
      </c>
      <c r="BE18" s="241" t="str">
        <f t="shared" si="42"/>
        <v>סיום</v>
      </c>
      <c r="BF18" s="242">
        <f t="shared" si="43"/>
        <v>8.251752020529482E-3</v>
      </c>
      <c r="BG18" s="240">
        <f t="shared" si="44"/>
        <v>0.94531316950759092</v>
      </c>
      <c r="BH18" s="84">
        <f t="shared" si="45"/>
        <v>0</v>
      </c>
      <c r="BI18" s="84">
        <f>IF(BH18="","",IF(OR(BH18=1,IF(ISNA(MATCH("מוגן",$I18:BH18,0)),FALSE,TRUE)),1,0))</f>
        <v>0</v>
      </c>
      <c r="BJ18" s="241">
        <f t="shared" si="46"/>
        <v>8.251752020529482E-3</v>
      </c>
      <c r="BK18" s="241" t="str">
        <f t="shared" si="47"/>
        <v>סיום</v>
      </c>
      <c r="BL18" s="242">
        <f t="shared" si="48"/>
        <v>8.251752020529482E-3</v>
      </c>
      <c r="BM18" s="240">
        <f t="shared" si="49"/>
        <v>0.94531316950759092</v>
      </c>
      <c r="BN18" s="84">
        <f t="shared" si="50"/>
        <v>0</v>
      </c>
      <c r="BO18" s="84">
        <f>IF(BN18="","",IF(OR(BN18=1,IF(ISNA(MATCH("מוגן",$I18:BN18,0)),FALSE,TRUE)),1,0))</f>
        <v>0</v>
      </c>
      <c r="BP18" s="241">
        <f t="shared" si="51"/>
        <v>8.251752020529482E-3</v>
      </c>
      <c r="BQ18" s="241" t="str">
        <f t="shared" si="52"/>
        <v>סיום</v>
      </c>
      <c r="BR18" s="242">
        <f t="shared" si="53"/>
        <v>8.251752020529482E-3</v>
      </c>
      <c r="BS18" s="240">
        <f t="shared" si="54"/>
        <v>0.94531316950759092</v>
      </c>
      <c r="BT18" s="84">
        <f t="shared" si="55"/>
        <v>0</v>
      </c>
      <c r="BU18" s="84">
        <f>IF(BT18="","",IF(OR(BT18=1,IF(ISNA(MATCH("מוגן",$I18:BT18,0)),FALSE,TRUE)),1,0))</f>
        <v>0</v>
      </c>
      <c r="BV18" s="241">
        <f t="shared" si="56"/>
        <v>8.251752020529482E-3</v>
      </c>
      <c r="BW18" s="241" t="str">
        <f t="shared" si="57"/>
        <v>סיום</v>
      </c>
      <c r="BX18" s="242">
        <f t="shared" si="58"/>
        <v>8.251752020529482E-3</v>
      </c>
      <c r="BY18" s="240">
        <f t="shared" si="59"/>
        <v>0.94531316950759092</v>
      </c>
      <c r="BZ18" s="84">
        <f t="shared" si="60"/>
        <v>0</v>
      </c>
      <c r="CA18" s="84">
        <f>IF(BZ18="","",IF(OR(BZ18=1,IF(ISNA(MATCH("מוגן",$I18:BZ18,0)),FALSE,TRUE)),1,0))</f>
        <v>0</v>
      </c>
      <c r="CB18" s="241">
        <f t="shared" si="61"/>
        <v>8.251752020529482E-3</v>
      </c>
      <c r="CC18" s="241" t="str">
        <f t="shared" si="62"/>
        <v>סיום</v>
      </c>
      <c r="CD18" s="242">
        <f t="shared" si="63"/>
        <v>8.251752020529482E-3</v>
      </c>
      <c r="CE18" s="240">
        <f t="shared" si="64"/>
        <v>0.94531316950759092</v>
      </c>
      <c r="CF18" s="84">
        <f t="shared" si="65"/>
        <v>0</v>
      </c>
      <c r="CG18" s="84">
        <f>IF(CF18="","",IF(OR(CF18=1,IF(ISNA(MATCH("מוגן",$I18:CF18,0)),FALSE,TRUE)),1,0))</f>
        <v>0</v>
      </c>
      <c r="CH18" s="241">
        <f t="shared" si="66"/>
        <v>8.251752020529482E-3</v>
      </c>
      <c r="CI18" s="241" t="str">
        <f t="shared" si="67"/>
        <v>סיום</v>
      </c>
      <c r="CJ18" s="242">
        <f t="shared" si="68"/>
        <v>8.251752020529482E-3</v>
      </c>
      <c r="CK18" s="240">
        <f t="shared" si="69"/>
        <v>0.94531316950759092</v>
      </c>
      <c r="CL18" s="84">
        <f t="shared" si="70"/>
        <v>0</v>
      </c>
      <c r="CM18" s="84">
        <f>IF(CL18="","",IF(OR(CL18=1,IF(ISNA(MATCH("מוגן",$I18:CL18,0)),FALSE,TRUE)),1,0))</f>
        <v>0</v>
      </c>
      <c r="CN18" s="241">
        <f t="shared" si="71"/>
        <v>8.251752020529482E-3</v>
      </c>
      <c r="CO18" s="241" t="str">
        <f t="shared" si="72"/>
        <v>סיום</v>
      </c>
      <c r="CP18" s="242">
        <f t="shared" si="73"/>
        <v>8.251752020529482E-3</v>
      </c>
      <c r="CQ18" s="240">
        <f t="shared" si="74"/>
        <v>0.94531316950759092</v>
      </c>
      <c r="CR18" s="84">
        <f t="shared" si="75"/>
        <v>0</v>
      </c>
      <c r="CS18" s="84">
        <f>IF(CR18="","",IF(OR(CR18=1,IF(ISNA(MATCH("מוגן",$I18:CR18,0)),FALSE,TRUE)),1,0))</f>
        <v>0</v>
      </c>
      <c r="CT18" s="241">
        <f t="shared" si="76"/>
        <v>8.251752020529482E-3</v>
      </c>
      <c r="CU18" s="241" t="str">
        <f t="shared" si="77"/>
        <v>סיום</v>
      </c>
      <c r="CV18" s="242">
        <f t="shared" si="78"/>
        <v>8.251752020529482E-3</v>
      </c>
      <c r="CW18" s="240">
        <f t="shared" si="79"/>
        <v>0.94531316950759092</v>
      </c>
      <c r="CX18" s="84">
        <f t="shared" si="80"/>
        <v>0</v>
      </c>
      <c r="CY18" s="84">
        <f>IF(CX18="","",IF(OR(CX18=1,IF(ISNA(MATCH("מוגן",$I18:CX18,0)),FALSE,TRUE)),1,0))</f>
        <v>0</v>
      </c>
      <c r="CZ18" s="241">
        <f t="shared" si="81"/>
        <v>8.251752020529482E-3</v>
      </c>
      <c r="DA18" s="241" t="str">
        <f t="shared" si="82"/>
        <v>סיום</v>
      </c>
      <c r="DB18" s="242">
        <f t="shared" si="83"/>
        <v>8.251752020529482E-3</v>
      </c>
      <c r="DC18" s="240">
        <f t="shared" si="84"/>
        <v>0.94531316950759092</v>
      </c>
      <c r="DD18" s="84">
        <f t="shared" si="85"/>
        <v>0</v>
      </c>
      <c r="DE18" s="84">
        <f>IF(DD18="","",IF(OR(DD18=1,IF(ISNA(MATCH("מוגן",$I18:DD18,0)),FALSE,TRUE)),1,0))</f>
        <v>0</v>
      </c>
      <c r="DF18" s="241">
        <f t="shared" si="86"/>
        <v>8.251752020529482E-3</v>
      </c>
      <c r="DG18" s="241" t="str">
        <f t="shared" si="87"/>
        <v>סיום</v>
      </c>
      <c r="DH18" s="242">
        <f t="shared" si="88"/>
        <v>8.251752020529482E-3</v>
      </c>
      <c r="DI18" s="240">
        <f t="shared" si="89"/>
        <v>0.94531316950759092</v>
      </c>
      <c r="DJ18" s="84">
        <f t="shared" si="90"/>
        <v>0</v>
      </c>
      <c r="DK18" s="84">
        <f>IF(DJ18="","",IF(OR(DJ18=1,IF(ISNA(MATCH("מוגן",$I18:DJ18,0)),FALSE,TRUE)),1,0))</f>
        <v>0</v>
      </c>
      <c r="DL18" s="241">
        <f t="shared" si="91"/>
        <v>8.251752020529482E-3</v>
      </c>
      <c r="DM18" s="241" t="str">
        <f t="shared" si="92"/>
        <v>סיום</v>
      </c>
      <c r="DN18" s="242">
        <f t="shared" si="93"/>
        <v>8.251752020529482E-3</v>
      </c>
      <c r="DO18" s="240">
        <f t="shared" si="94"/>
        <v>0.94531316950759092</v>
      </c>
      <c r="DP18" s="84">
        <f t="shared" si="95"/>
        <v>0</v>
      </c>
      <c r="DQ18" s="84">
        <f>IF(DP18="","",IF(OR(DP18=1,IF(ISNA(MATCH("מוגן",$I18:DP18,0)),FALSE,TRUE)),1,0))</f>
        <v>0</v>
      </c>
      <c r="DR18" s="241">
        <f t="shared" si="96"/>
        <v>8.251752020529482E-3</v>
      </c>
      <c r="DS18" s="241" t="str">
        <f t="shared" si="97"/>
        <v>סיום</v>
      </c>
      <c r="DT18" s="242">
        <f t="shared" si="98"/>
        <v>8.251752020529482E-3</v>
      </c>
      <c r="DU18" s="240">
        <f t="shared" si="99"/>
        <v>0.94531316950759092</v>
      </c>
      <c r="DV18" s="84">
        <f t="shared" si="100"/>
        <v>0</v>
      </c>
      <c r="DW18" s="84">
        <f>IF(DV18="","",IF(OR(DV18=1,IF(ISNA(MATCH("מוגן",$I18:DV18,0)),FALSE,TRUE)),1,0))</f>
        <v>0</v>
      </c>
      <c r="DX18" s="241">
        <f t="shared" si="101"/>
        <v>8.251752020529482E-3</v>
      </c>
      <c r="DY18" s="241" t="str">
        <f t="shared" si="102"/>
        <v>סיום</v>
      </c>
      <c r="DZ18" s="242">
        <f t="shared" si="103"/>
        <v>8.251752020529482E-3</v>
      </c>
      <c r="EA18" s="240">
        <f t="shared" si="104"/>
        <v>0.94531316950759092</v>
      </c>
      <c r="EB18" s="84">
        <f t="shared" si="105"/>
        <v>0</v>
      </c>
      <c r="EC18" s="84">
        <f>IF(EB18="","",IF(OR(EB18=1,IF(ISNA(MATCH("מוגן",$I18:EB18,0)),FALSE,TRUE)),1,0))</f>
        <v>0</v>
      </c>
      <c r="ED18" s="241">
        <f t="shared" si="106"/>
        <v>8.251752020529482E-3</v>
      </c>
      <c r="EE18" s="241" t="str">
        <f t="shared" si="107"/>
        <v>סיום</v>
      </c>
      <c r="EF18" s="242">
        <f t="shared" si="108"/>
        <v>8.251752020529482E-3</v>
      </c>
      <c r="EG18" s="240">
        <f t="shared" si="109"/>
        <v>0.94531316950759092</v>
      </c>
      <c r="EH18" s="84">
        <f t="shared" si="110"/>
        <v>0</v>
      </c>
      <c r="EI18" s="84">
        <f>IF(EH18="","",IF(OR(EH18=1,IF(ISNA(MATCH("מוגן",$I18:EH18,0)),FALSE,TRUE)),1,0))</f>
        <v>0</v>
      </c>
      <c r="EJ18" s="241">
        <f t="shared" si="111"/>
        <v>8.251752020529482E-3</v>
      </c>
      <c r="EK18" s="241" t="str">
        <f t="shared" si="112"/>
        <v>סיום</v>
      </c>
      <c r="EL18" s="242">
        <f t="shared" si="113"/>
        <v>8.251752020529482E-3</v>
      </c>
      <c r="EM18" s="240">
        <f t="shared" si="114"/>
        <v>0.94531316950759092</v>
      </c>
      <c r="EN18" s="84">
        <f t="shared" si="115"/>
        <v>0</v>
      </c>
      <c r="EO18" s="84">
        <f>IF(EN18="","",IF(OR(EN18=1,IF(ISNA(MATCH("מוגן",$I18:EN18,0)),FALSE,TRUE)),1,0))</f>
        <v>0</v>
      </c>
      <c r="EP18" s="241">
        <f t="shared" si="116"/>
        <v>8.251752020529482E-3</v>
      </c>
      <c r="EQ18" s="241" t="str">
        <f t="shared" si="117"/>
        <v>סיום</v>
      </c>
      <c r="ER18" s="242">
        <f t="shared" si="118"/>
        <v>8.251752020529482E-3</v>
      </c>
      <c r="ES18" s="240">
        <f t="shared" si="119"/>
        <v>0.94531316950759092</v>
      </c>
      <c r="ET18" s="84">
        <f t="shared" si="120"/>
        <v>0</v>
      </c>
      <c r="EU18" s="84">
        <f>IF(ET18="","",IF(OR(ET18=1,IF(ISNA(MATCH("מוגן",$I18:ET18,0)),FALSE,TRUE)),1,0))</f>
        <v>0</v>
      </c>
      <c r="EV18" s="241">
        <f t="shared" si="121"/>
        <v>8.251752020529482E-3</v>
      </c>
      <c r="EW18" s="241" t="str">
        <f t="shared" si="122"/>
        <v>סיום</v>
      </c>
      <c r="EX18" s="242">
        <f t="shared" si="123"/>
        <v>8.251752020529482E-3</v>
      </c>
      <c r="EY18" s="240">
        <f t="shared" si="124"/>
        <v>0.94531316950759092</v>
      </c>
      <c r="EZ18" s="84">
        <f t="shared" si="125"/>
        <v>0</v>
      </c>
      <c r="FA18" s="84">
        <f>IF(EZ18="","",IF(OR(EZ18=1,IF(ISNA(MATCH("מוגן",$I18:EZ18,0)),FALSE,TRUE)),1,0))</f>
        <v>0</v>
      </c>
      <c r="FB18" s="241">
        <f t="shared" si="126"/>
        <v>8.251752020529482E-3</v>
      </c>
      <c r="FC18" s="241" t="str">
        <f t="shared" si="127"/>
        <v>סיום</v>
      </c>
      <c r="FD18" s="242">
        <f t="shared" si="128"/>
        <v>8.251752020529482E-3</v>
      </c>
      <c r="FE18" s="240">
        <f t="shared" si="129"/>
        <v>0.94531316950759092</v>
      </c>
      <c r="FF18" s="84">
        <f t="shared" si="130"/>
        <v>0</v>
      </c>
      <c r="FG18" s="84">
        <f>IF(FF18="","",IF(OR(FF18=1,IF(ISNA(MATCH("מוגן",$I18:FF18,0)),FALSE,TRUE)),1,0))</f>
        <v>0</v>
      </c>
      <c r="FH18" s="241">
        <f t="shared" si="131"/>
        <v>8.251752020529482E-3</v>
      </c>
      <c r="FI18" s="241" t="str">
        <f t="shared" si="132"/>
        <v>סיום</v>
      </c>
      <c r="FJ18" s="242">
        <f t="shared" si="133"/>
        <v>8.251752020529482E-3</v>
      </c>
      <c r="FK18" s="240">
        <f t="shared" si="134"/>
        <v>0.94531316950759092</v>
      </c>
      <c r="FL18" s="84">
        <f t="shared" si="135"/>
        <v>0</v>
      </c>
      <c r="FM18" s="84">
        <f>IF(FL18="","",IF(OR(FL18=1,IF(ISNA(MATCH("מוגן",$I18:FL18,0)),FALSE,TRUE)),1,0))</f>
        <v>0</v>
      </c>
      <c r="FN18" s="241">
        <f t="shared" si="136"/>
        <v>8.251752020529482E-3</v>
      </c>
      <c r="FO18" s="241" t="str">
        <f t="shared" si="137"/>
        <v>סיום</v>
      </c>
      <c r="FP18" s="242">
        <f t="shared" si="138"/>
        <v>8.251752020529482E-3</v>
      </c>
      <c r="FQ18" s="240">
        <f t="shared" si="139"/>
        <v>0.94531316950759092</v>
      </c>
      <c r="FR18" s="84">
        <f t="shared" si="140"/>
        <v>0</v>
      </c>
      <c r="FS18" s="84">
        <f>IF(FR18="","",IF(OR(FR18=1,IF(ISNA(MATCH("מוגן",$I18:FR18,0)),FALSE,TRUE)),1,0))</f>
        <v>0</v>
      </c>
      <c r="FT18" s="241">
        <f t="shared" si="141"/>
        <v>8.251752020529482E-3</v>
      </c>
      <c r="FU18" s="241" t="str">
        <f t="shared" si="142"/>
        <v>סיום</v>
      </c>
      <c r="FV18" s="242">
        <f t="shared" si="143"/>
        <v>8.251752020529482E-3</v>
      </c>
      <c r="FW18" s="240">
        <f t="shared" si="144"/>
        <v>0.94531316950759092</v>
      </c>
      <c r="FX18" s="84">
        <f t="shared" si="145"/>
        <v>0</v>
      </c>
      <c r="FY18" s="84">
        <f>IF(FX18="","",IF(OR(FX18=1,IF(ISNA(MATCH("מוגן",$I18:FX18,0)),FALSE,TRUE)),1,0))</f>
        <v>0</v>
      </c>
      <c r="FZ18" s="241">
        <f t="shared" si="146"/>
        <v>8.251752020529482E-3</v>
      </c>
      <c r="GA18" s="241" t="str">
        <f t="shared" si="147"/>
        <v>סיום</v>
      </c>
      <c r="GB18" s="242">
        <f t="shared" si="148"/>
        <v>8.251752020529482E-3</v>
      </c>
      <c r="GC18" s="240">
        <f t="shared" si="149"/>
        <v>0.94531316950759092</v>
      </c>
      <c r="GD18" s="84">
        <f t="shared" si="150"/>
        <v>0</v>
      </c>
      <c r="GE18" s="84">
        <f>IF(GD18="","",IF(OR(GD18=1,IF(ISNA(MATCH("מוגן",$I18:GD18,0)),FALSE,TRUE)),1,0))</f>
        <v>0</v>
      </c>
      <c r="GF18" s="241">
        <f t="shared" si="151"/>
        <v>8.251752020529482E-3</v>
      </c>
      <c r="GG18" s="241" t="str">
        <f t="shared" si="152"/>
        <v>סיום</v>
      </c>
      <c r="GH18" s="242">
        <f t="shared" si="153"/>
        <v>8.251752020529482E-3</v>
      </c>
      <c r="GI18" s="240">
        <f t="shared" si="154"/>
        <v>0.94531316950759092</v>
      </c>
      <c r="GJ18" s="84">
        <f t="shared" si="155"/>
        <v>0</v>
      </c>
      <c r="GK18" s="84">
        <f>IF(GJ18="","",IF(OR(GJ18=1,IF(ISNA(MATCH("מוגן",$I18:GJ18,0)),FALSE,TRUE)),1,0))</f>
        <v>0</v>
      </c>
      <c r="GL18" s="241">
        <f t="shared" si="156"/>
        <v>8.251752020529482E-3</v>
      </c>
      <c r="GM18" s="241" t="str">
        <f t="shared" si="157"/>
        <v>סיום</v>
      </c>
      <c r="GN18" s="242">
        <f t="shared" si="158"/>
        <v>8.251752020529482E-3</v>
      </c>
      <c r="GO18" s="240">
        <f t="shared" si="159"/>
        <v>0.94531316950759092</v>
      </c>
      <c r="GP18" s="84">
        <f t="shared" si="160"/>
        <v>0</v>
      </c>
      <c r="GQ18" s="84">
        <f>IF(GP18="","",IF(OR(GP18=1,IF(ISNA(MATCH("מוגן",$I18:GP18,0)),FALSE,TRUE)),1,0))</f>
        <v>0</v>
      </c>
      <c r="GR18" s="241">
        <f t="shared" si="161"/>
        <v>8.251752020529482E-3</v>
      </c>
      <c r="GS18" s="241" t="str">
        <f t="shared" si="162"/>
        <v>סיום</v>
      </c>
      <c r="GT18" s="242">
        <f t="shared" si="163"/>
        <v>8.251752020529482E-3</v>
      </c>
      <c r="GU18" s="240">
        <f t="shared" si="164"/>
        <v>0.94531316950759092</v>
      </c>
      <c r="GV18" s="84">
        <f t="shared" si="165"/>
        <v>0</v>
      </c>
      <c r="GW18" s="84">
        <f>IF(GV18="","",IF(OR(GV18=1,IF(ISNA(MATCH("מוגן",$I18:GV18,0)),FALSE,TRUE)),1,0))</f>
        <v>0</v>
      </c>
      <c r="GX18" s="241">
        <f t="shared" si="166"/>
        <v>8.251752020529482E-3</v>
      </c>
      <c r="GY18" s="241" t="str">
        <f t="shared" si="167"/>
        <v>סיום</v>
      </c>
      <c r="GZ18" s="242">
        <f t="shared" si="168"/>
        <v>8.251752020529482E-3</v>
      </c>
      <c r="HA18" s="119">
        <f t="shared" si="169"/>
        <v>815454.76194904477</v>
      </c>
      <c r="HB18" s="246" t="str">
        <f t="shared" si="170"/>
        <v>OK</v>
      </c>
      <c r="HC18" s="244">
        <f t="shared" si="171"/>
        <v>0.94531316950759092</v>
      </c>
      <c r="HD18" s="245">
        <f t="shared" si="172"/>
        <v>8.251752020529482E-3</v>
      </c>
      <c r="HE18" s="111">
        <f t="shared" si="173"/>
        <v>0</v>
      </c>
      <c r="HF18" s="111">
        <f t="shared" si="174"/>
        <v>1</v>
      </c>
      <c r="HG18" s="111" t="b">
        <f>OR(B18="",ISNA(MATCH(C18,{0,1},0)))</f>
        <v>0</v>
      </c>
    </row>
    <row r="19" spans="1:215">
      <c r="A19" s="120">
        <f>ייצוב!A15</f>
        <v>11</v>
      </c>
      <c r="B19" s="121" t="str">
        <f>ייצוב!B15</f>
        <v>אספקלריא</v>
      </c>
      <c r="C19" s="67"/>
      <c r="D19" s="240">
        <f>ייצוב!E15</f>
        <v>1.4657575794912496E-2</v>
      </c>
      <c r="E19" s="240">
        <f>ייצוב!G15</f>
        <v>1.5903386877313401E-2</v>
      </c>
      <c r="F19" s="240">
        <f t="shared" si="0"/>
        <v>1.0849943469392336</v>
      </c>
      <c r="G19" s="84">
        <f t="shared" si="1"/>
        <v>0</v>
      </c>
      <c r="H19" s="241">
        <f t="shared" si="2"/>
        <v>1.5903386877313401E-2</v>
      </c>
      <c r="I19" s="241">
        <f t="array" ref="I19">IF(H19="","",IF(G19=1,"מוגן",H19/SUMIF(G$9:G$41,"=0",H$9:H$41)))</f>
        <v>1.5903386877313401E-2</v>
      </c>
      <c r="J19" s="242">
        <f t="shared" si="3"/>
        <v>1.5903386877313401E-2</v>
      </c>
      <c r="K19" s="240">
        <f t="shared" si="4"/>
        <v>1.0849943469392336</v>
      </c>
      <c r="L19" s="84">
        <f t="shared" si="5"/>
        <v>0</v>
      </c>
      <c r="M19" s="84">
        <f>IF(L19="","",IF(OR(L19=1,IF(ISNA(MATCH("מוגן",$I19:L19,0)),FALSE,TRUE)),1,0))</f>
        <v>0</v>
      </c>
      <c r="N19" s="241">
        <f t="shared" si="6"/>
        <v>1.5903386877313401E-2</v>
      </c>
      <c r="O19" s="241" t="str">
        <f t="shared" si="7"/>
        <v>סיום</v>
      </c>
      <c r="P19" s="242">
        <f t="shared" si="8"/>
        <v>1.5903386877313401E-2</v>
      </c>
      <c r="Q19" s="240">
        <f t="shared" si="9"/>
        <v>1.0849943469392336</v>
      </c>
      <c r="R19" s="84">
        <f t="shared" si="10"/>
        <v>0</v>
      </c>
      <c r="S19" s="84">
        <f>IF(R19="","",IF(OR(R19=1,IF(ISNA(MATCH("מוגן",$I19:R19,0)),FALSE,TRUE)),1,0))</f>
        <v>0</v>
      </c>
      <c r="T19" s="241">
        <f t="shared" si="11"/>
        <v>1.5903386877313401E-2</v>
      </c>
      <c r="U19" s="241" t="str">
        <f t="shared" si="12"/>
        <v>סיום</v>
      </c>
      <c r="V19" s="242">
        <f t="shared" si="13"/>
        <v>1.5903386877313401E-2</v>
      </c>
      <c r="W19" s="240">
        <f t="shared" si="14"/>
        <v>1.0849943469392336</v>
      </c>
      <c r="X19" s="84">
        <f t="shared" si="15"/>
        <v>0</v>
      </c>
      <c r="Y19" s="84">
        <f>IF(X19="","",IF(OR(X19=1,IF(ISNA(MATCH("מוגן",$I19:X19,0)),FALSE,TRUE)),1,0))</f>
        <v>0</v>
      </c>
      <c r="Z19" s="241">
        <f t="shared" si="16"/>
        <v>1.5903386877313401E-2</v>
      </c>
      <c r="AA19" s="241" t="str">
        <f t="shared" si="17"/>
        <v>סיום</v>
      </c>
      <c r="AB19" s="242">
        <f t="shared" si="18"/>
        <v>1.5903386877313401E-2</v>
      </c>
      <c r="AC19" s="240">
        <f t="shared" si="19"/>
        <v>1.0849943469392336</v>
      </c>
      <c r="AD19" s="84">
        <f t="shared" si="20"/>
        <v>0</v>
      </c>
      <c r="AE19" s="84">
        <f>IF(AD19="","",IF(OR(AD19=1,IF(ISNA(MATCH("מוגן",$I19:AD19,0)),FALSE,TRUE)),1,0))</f>
        <v>0</v>
      </c>
      <c r="AF19" s="241">
        <f t="shared" si="21"/>
        <v>1.5903386877313401E-2</v>
      </c>
      <c r="AG19" s="241" t="str">
        <f t="shared" si="22"/>
        <v>סיום</v>
      </c>
      <c r="AH19" s="242">
        <f t="shared" si="23"/>
        <v>1.5903386877313401E-2</v>
      </c>
      <c r="AI19" s="240">
        <f t="shared" si="24"/>
        <v>1.0849943469392336</v>
      </c>
      <c r="AJ19" s="84">
        <f t="shared" si="25"/>
        <v>0</v>
      </c>
      <c r="AK19" s="84">
        <f>IF(AJ19="","",IF(OR(AJ19=1,IF(ISNA(MATCH("מוגן",$I19:AJ19,0)),FALSE,TRUE)),1,0))</f>
        <v>0</v>
      </c>
      <c r="AL19" s="241">
        <f t="shared" si="26"/>
        <v>1.5903386877313401E-2</v>
      </c>
      <c r="AM19" s="241" t="str">
        <f t="shared" si="27"/>
        <v>סיום</v>
      </c>
      <c r="AN19" s="242">
        <f t="shared" si="28"/>
        <v>1.5903386877313401E-2</v>
      </c>
      <c r="AO19" s="240">
        <f t="shared" si="29"/>
        <v>1.0849943469392336</v>
      </c>
      <c r="AP19" s="84">
        <f t="shared" si="30"/>
        <v>0</v>
      </c>
      <c r="AQ19" s="84">
        <f>IF(AP19="","",IF(OR(AP19=1,IF(ISNA(MATCH("מוגן",$I19:AP19,0)),FALSE,TRUE)),1,0))</f>
        <v>0</v>
      </c>
      <c r="AR19" s="241">
        <f t="shared" si="31"/>
        <v>1.5903386877313401E-2</v>
      </c>
      <c r="AS19" s="241" t="str">
        <f t="shared" si="32"/>
        <v>סיום</v>
      </c>
      <c r="AT19" s="242">
        <f t="shared" si="33"/>
        <v>1.5903386877313401E-2</v>
      </c>
      <c r="AU19" s="240">
        <f t="shared" si="34"/>
        <v>1.0849943469392336</v>
      </c>
      <c r="AV19" s="84">
        <f t="shared" si="35"/>
        <v>0</v>
      </c>
      <c r="AW19" s="84">
        <f>IF(AV19="","",IF(OR(AV19=1,IF(ISNA(MATCH("מוגן",$I19:AV19,0)),FALSE,TRUE)),1,0))</f>
        <v>0</v>
      </c>
      <c r="AX19" s="241">
        <f t="shared" si="36"/>
        <v>1.5903386877313401E-2</v>
      </c>
      <c r="AY19" s="241" t="str">
        <f t="shared" si="37"/>
        <v>סיום</v>
      </c>
      <c r="AZ19" s="242">
        <f t="shared" si="38"/>
        <v>1.5903386877313401E-2</v>
      </c>
      <c r="BA19" s="240">
        <f t="shared" si="39"/>
        <v>1.0849943469392336</v>
      </c>
      <c r="BB19" s="84">
        <f t="shared" si="40"/>
        <v>0</v>
      </c>
      <c r="BC19" s="84">
        <f>IF(BB19="","",IF(OR(BB19=1,IF(ISNA(MATCH("מוגן",$I19:BB19,0)),FALSE,TRUE)),1,0))</f>
        <v>0</v>
      </c>
      <c r="BD19" s="241">
        <f t="shared" si="41"/>
        <v>1.5903386877313401E-2</v>
      </c>
      <c r="BE19" s="241" t="str">
        <f t="shared" si="42"/>
        <v>סיום</v>
      </c>
      <c r="BF19" s="242">
        <f t="shared" si="43"/>
        <v>1.5903386877313401E-2</v>
      </c>
      <c r="BG19" s="240">
        <f t="shared" si="44"/>
        <v>1.0849943469392336</v>
      </c>
      <c r="BH19" s="84">
        <f t="shared" si="45"/>
        <v>0</v>
      </c>
      <c r="BI19" s="84">
        <f>IF(BH19="","",IF(OR(BH19=1,IF(ISNA(MATCH("מוגן",$I19:BH19,0)),FALSE,TRUE)),1,0))</f>
        <v>0</v>
      </c>
      <c r="BJ19" s="241">
        <f t="shared" si="46"/>
        <v>1.5903386877313401E-2</v>
      </c>
      <c r="BK19" s="241" t="str">
        <f t="shared" si="47"/>
        <v>סיום</v>
      </c>
      <c r="BL19" s="242">
        <f t="shared" si="48"/>
        <v>1.5903386877313401E-2</v>
      </c>
      <c r="BM19" s="240">
        <f t="shared" si="49"/>
        <v>1.0849943469392336</v>
      </c>
      <c r="BN19" s="84">
        <f t="shared" si="50"/>
        <v>0</v>
      </c>
      <c r="BO19" s="84">
        <f>IF(BN19="","",IF(OR(BN19=1,IF(ISNA(MATCH("מוגן",$I19:BN19,0)),FALSE,TRUE)),1,0))</f>
        <v>0</v>
      </c>
      <c r="BP19" s="241">
        <f t="shared" si="51"/>
        <v>1.5903386877313401E-2</v>
      </c>
      <c r="BQ19" s="241" t="str">
        <f t="shared" si="52"/>
        <v>סיום</v>
      </c>
      <c r="BR19" s="242">
        <f t="shared" si="53"/>
        <v>1.5903386877313401E-2</v>
      </c>
      <c r="BS19" s="240">
        <f t="shared" si="54"/>
        <v>1.0849943469392336</v>
      </c>
      <c r="BT19" s="84">
        <f t="shared" si="55"/>
        <v>0</v>
      </c>
      <c r="BU19" s="84">
        <f>IF(BT19="","",IF(OR(BT19=1,IF(ISNA(MATCH("מוגן",$I19:BT19,0)),FALSE,TRUE)),1,0))</f>
        <v>0</v>
      </c>
      <c r="BV19" s="241">
        <f t="shared" si="56"/>
        <v>1.5903386877313401E-2</v>
      </c>
      <c r="BW19" s="241" t="str">
        <f t="shared" si="57"/>
        <v>סיום</v>
      </c>
      <c r="BX19" s="242">
        <f t="shared" si="58"/>
        <v>1.5903386877313401E-2</v>
      </c>
      <c r="BY19" s="240">
        <f t="shared" si="59"/>
        <v>1.0849943469392336</v>
      </c>
      <c r="BZ19" s="84">
        <f t="shared" si="60"/>
        <v>0</v>
      </c>
      <c r="CA19" s="84">
        <f>IF(BZ19="","",IF(OR(BZ19=1,IF(ISNA(MATCH("מוגן",$I19:BZ19,0)),FALSE,TRUE)),1,0))</f>
        <v>0</v>
      </c>
      <c r="CB19" s="241">
        <f t="shared" si="61"/>
        <v>1.5903386877313401E-2</v>
      </c>
      <c r="CC19" s="241" t="str">
        <f t="shared" si="62"/>
        <v>סיום</v>
      </c>
      <c r="CD19" s="242">
        <f t="shared" si="63"/>
        <v>1.5903386877313401E-2</v>
      </c>
      <c r="CE19" s="240">
        <f t="shared" si="64"/>
        <v>1.0849943469392336</v>
      </c>
      <c r="CF19" s="84">
        <f t="shared" si="65"/>
        <v>0</v>
      </c>
      <c r="CG19" s="84">
        <f>IF(CF19="","",IF(OR(CF19=1,IF(ISNA(MATCH("מוגן",$I19:CF19,0)),FALSE,TRUE)),1,0))</f>
        <v>0</v>
      </c>
      <c r="CH19" s="241">
        <f t="shared" si="66"/>
        <v>1.5903386877313401E-2</v>
      </c>
      <c r="CI19" s="241" t="str">
        <f t="shared" si="67"/>
        <v>סיום</v>
      </c>
      <c r="CJ19" s="242">
        <f t="shared" si="68"/>
        <v>1.5903386877313401E-2</v>
      </c>
      <c r="CK19" s="240">
        <f t="shared" si="69"/>
        <v>1.0849943469392336</v>
      </c>
      <c r="CL19" s="84">
        <f t="shared" si="70"/>
        <v>0</v>
      </c>
      <c r="CM19" s="84">
        <f>IF(CL19="","",IF(OR(CL19=1,IF(ISNA(MATCH("מוגן",$I19:CL19,0)),FALSE,TRUE)),1,0))</f>
        <v>0</v>
      </c>
      <c r="CN19" s="241">
        <f t="shared" si="71"/>
        <v>1.5903386877313401E-2</v>
      </c>
      <c r="CO19" s="241" t="str">
        <f t="shared" si="72"/>
        <v>סיום</v>
      </c>
      <c r="CP19" s="242">
        <f t="shared" si="73"/>
        <v>1.5903386877313401E-2</v>
      </c>
      <c r="CQ19" s="240">
        <f t="shared" si="74"/>
        <v>1.0849943469392336</v>
      </c>
      <c r="CR19" s="84">
        <f t="shared" si="75"/>
        <v>0</v>
      </c>
      <c r="CS19" s="84">
        <f>IF(CR19="","",IF(OR(CR19=1,IF(ISNA(MATCH("מוגן",$I19:CR19,0)),FALSE,TRUE)),1,0))</f>
        <v>0</v>
      </c>
      <c r="CT19" s="241">
        <f t="shared" si="76"/>
        <v>1.5903386877313401E-2</v>
      </c>
      <c r="CU19" s="241" t="str">
        <f t="shared" si="77"/>
        <v>סיום</v>
      </c>
      <c r="CV19" s="242">
        <f t="shared" si="78"/>
        <v>1.5903386877313401E-2</v>
      </c>
      <c r="CW19" s="240">
        <f t="shared" si="79"/>
        <v>1.0849943469392336</v>
      </c>
      <c r="CX19" s="84">
        <f t="shared" si="80"/>
        <v>0</v>
      </c>
      <c r="CY19" s="84">
        <f>IF(CX19="","",IF(OR(CX19=1,IF(ISNA(MATCH("מוגן",$I19:CX19,0)),FALSE,TRUE)),1,0))</f>
        <v>0</v>
      </c>
      <c r="CZ19" s="241">
        <f t="shared" si="81"/>
        <v>1.5903386877313401E-2</v>
      </c>
      <c r="DA19" s="241" t="str">
        <f t="shared" si="82"/>
        <v>סיום</v>
      </c>
      <c r="DB19" s="242">
        <f t="shared" si="83"/>
        <v>1.5903386877313401E-2</v>
      </c>
      <c r="DC19" s="240">
        <f t="shared" si="84"/>
        <v>1.0849943469392336</v>
      </c>
      <c r="DD19" s="84">
        <f t="shared" si="85"/>
        <v>0</v>
      </c>
      <c r="DE19" s="84">
        <f>IF(DD19="","",IF(OR(DD19=1,IF(ISNA(MATCH("מוגן",$I19:DD19,0)),FALSE,TRUE)),1,0))</f>
        <v>0</v>
      </c>
      <c r="DF19" s="241">
        <f t="shared" si="86"/>
        <v>1.5903386877313401E-2</v>
      </c>
      <c r="DG19" s="241" t="str">
        <f t="shared" si="87"/>
        <v>סיום</v>
      </c>
      <c r="DH19" s="242">
        <f t="shared" si="88"/>
        <v>1.5903386877313401E-2</v>
      </c>
      <c r="DI19" s="240">
        <f t="shared" si="89"/>
        <v>1.0849943469392336</v>
      </c>
      <c r="DJ19" s="84">
        <f t="shared" si="90"/>
        <v>0</v>
      </c>
      <c r="DK19" s="84">
        <f>IF(DJ19="","",IF(OR(DJ19=1,IF(ISNA(MATCH("מוגן",$I19:DJ19,0)),FALSE,TRUE)),1,0))</f>
        <v>0</v>
      </c>
      <c r="DL19" s="241">
        <f t="shared" si="91"/>
        <v>1.5903386877313401E-2</v>
      </c>
      <c r="DM19" s="241" t="str">
        <f t="shared" si="92"/>
        <v>סיום</v>
      </c>
      <c r="DN19" s="242">
        <f t="shared" si="93"/>
        <v>1.5903386877313401E-2</v>
      </c>
      <c r="DO19" s="240">
        <f t="shared" si="94"/>
        <v>1.0849943469392336</v>
      </c>
      <c r="DP19" s="84">
        <f t="shared" si="95"/>
        <v>0</v>
      </c>
      <c r="DQ19" s="84">
        <f>IF(DP19="","",IF(OR(DP19=1,IF(ISNA(MATCH("מוגן",$I19:DP19,0)),FALSE,TRUE)),1,0))</f>
        <v>0</v>
      </c>
      <c r="DR19" s="241">
        <f t="shared" si="96"/>
        <v>1.5903386877313401E-2</v>
      </c>
      <c r="DS19" s="241" t="str">
        <f t="shared" si="97"/>
        <v>סיום</v>
      </c>
      <c r="DT19" s="242">
        <f t="shared" si="98"/>
        <v>1.5903386877313401E-2</v>
      </c>
      <c r="DU19" s="240">
        <f t="shared" si="99"/>
        <v>1.0849943469392336</v>
      </c>
      <c r="DV19" s="84">
        <f t="shared" si="100"/>
        <v>0</v>
      </c>
      <c r="DW19" s="84">
        <f>IF(DV19="","",IF(OR(DV19=1,IF(ISNA(MATCH("מוגן",$I19:DV19,0)),FALSE,TRUE)),1,0))</f>
        <v>0</v>
      </c>
      <c r="DX19" s="241">
        <f t="shared" si="101"/>
        <v>1.5903386877313401E-2</v>
      </c>
      <c r="DY19" s="241" t="str">
        <f t="shared" si="102"/>
        <v>סיום</v>
      </c>
      <c r="DZ19" s="242">
        <f t="shared" si="103"/>
        <v>1.5903386877313401E-2</v>
      </c>
      <c r="EA19" s="240">
        <f t="shared" si="104"/>
        <v>1.0849943469392336</v>
      </c>
      <c r="EB19" s="84">
        <f t="shared" si="105"/>
        <v>0</v>
      </c>
      <c r="EC19" s="84">
        <f>IF(EB19="","",IF(OR(EB19=1,IF(ISNA(MATCH("מוגן",$I19:EB19,0)),FALSE,TRUE)),1,0))</f>
        <v>0</v>
      </c>
      <c r="ED19" s="241">
        <f t="shared" si="106"/>
        <v>1.5903386877313401E-2</v>
      </c>
      <c r="EE19" s="241" t="str">
        <f t="shared" si="107"/>
        <v>סיום</v>
      </c>
      <c r="EF19" s="242">
        <f t="shared" si="108"/>
        <v>1.5903386877313401E-2</v>
      </c>
      <c r="EG19" s="240">
        <f t="shared" si="109"/>
        <v>1.0849943469392336</v>
      </c>
      <c r="EH19" s="84">
        <f t="shared" si="110"/>
        <v>0</v>
      </c>
      <c r="EI19" s="84">
        <f>IF(EH19="","",IF(OR(EH19=1,IF(ISNA(MATCH("מוגן",$I19:EH19,0)),FALSE,TRUE)),1,0))</f>
        <v>0</v>
      </c>
      <c r="EJ19" s="241">
        <f t="shared" si="111"/>
        <v>1.5903386877313401E-2</v>
      </c>
      <c r="EK19" s="241" t="str">
        <f t="shared" si="112"/>
        <v>סיום</v>
      </c>
      <c r="EL19" s="242">
        <f t="shared" si="113"/>
        <v>1.5903386877313401E-2</v>
      </c>
      <c r="EM19" s="240">
        <f t="shared" si="114"/>
        <v>1.0849943469392336</v>
      </c>
      <c r="EN19" s="84">
        <f t="shared" si="115"/>
        <v>0</v>
      </c>
      <c r="EO19" s="84">
        <f>IF(EN19="","",IF(OR(EN19=1,IF(ISNA(MATCH("מוגן",$I19:EN19,0)),FALSE,TRUE)),1,0))</f>
        <v>0</v>
      </c>
      <c r="EP19" s="241">
        <f t="shared" si="116"/>
        <v>1.5903386877313401E-2</v>
      </c>
      <c r="EQ19" s="241" t="str">
        <f t="shared" si="117"/>
        <v>סיום</v>
      </c>
      <c r="ER19" s="242">
        <f t="shared" si="118"/>
        <v>1.5903386877313401E-2</v>
      </c>
      <c r="ES19" s="240">
        <f t="shared" si="119"/>
        <v>1.0849943469392336</v>
      </c>
      <c r="ET19" s="84">
        <f t="shared" si="120"/>
        <v>0</v>
      </c>
      <c r="EU19" s="84">
        <f>IF(ET19="","",IF(OR(ET19=1,IF(ISNA(MATCH("מוגן",$I19:ET19,0)),FALSE,TRUE)),1,0))</f>
        <v>0</v>
      </c>
      <c r="EV19" s="241">
        <f t="shared" si="121"/>
        <v>1.5903386877313401E-2</v>
      </c>
      <c r="EW19" s="241" t="str">
        <f t="shared" si="122"/>
        <v>סיום</v>
      </c>
      <c r="EX19" s="242">
        <f t="shared" si="123"/>
        <v>1.5903386877313401E-2</v>
      </c>
      <c r="EY19" s="240">
        <f t="shared" si="124"/>
        <v>1.0849943469392336</v>
      </c>
      <c r="EZ19" s="84">
        <f t="shared" si="125"/>
        <v>0</v>
      </c>
      <c r="FA19" s="84">
        <f>IF(EZ19="","",IF(OR(EZ19=1,IF(ISNA(MATCH("מוגן",$I19:EZ19,0)),FALSE,TRUE)),1,0))</f>
        <v>0</v>
      </c>
      <c r="FB19" s="241">
        <f t="shared" si="126"/>
        <v>1.5903386877313401E-2</v>
      </c>
      <c r="FC19" s="241" t="str">
        <f t="shared" si="127"/>
        <v>סיום</v>
      </c>
      <c r="FD19" s="242">
        <f t="shared" si="128"/>
        <v>1.5903386877313401E-2</v>
      </c>
      <c r="FE19" s="240">
        <f t="shared" si="129"/>
        <v>1.0849943469392336</v>
      </c>
      <c r="FF19" s="84">
        <f t="shared" si="130"/>
        <v>0</v>
      </c>
      <c r="FG19" s="84">
        <f>IF(FF19="","",IF(OR(FF19=1,IF(ISNA(MATCH("מוגן",$I19:FF19,0)),FALSE,TRUE)),1,0))</f>
        <v>0</v>
      </c>
      <c r="FH19" s="241">
        <f t="shared" si="131"/>
        <v>1.5903386877313401E-2</v>
      </c>
      <c r="FI19" s="241" t="str">
        <f t="shared" si="132"/>
        <v>סיום</v>
      </c>
      <c r="FJ19" s="242">
        <f t="shared" si="133"/>
        <v>1.5903386877313401E-2</v>
      </c>
      <c r="FK19" s="240">
        <f t="shared" si="134"/>
        <v>1.0849943469392336</v>
      </c>
      <c r="FL19" s="84">
        <f t="shared" si="135"/>
        <v>0</v>
      </c>
      <c r="FM19" s="84">
        <f>IF(FL19="","",IF(OR(FL19=1,IF(ISNA(MATCH("מוגן",$I19:FL19,0)),FALSE,TRUE)),1,0))</f>
        <v>0</v>
      </c>
      <c r="FN19" s="241">
        <f t="shared" si="136"/>
        <v>1.5903386877313401E-2</v>
      </c>
      <c r="FO19" s="241" t="str">
        <f t="shared" si="137"/>
        <v>סיום</v>
      </c>
      <c r="FP19" s="242">
        <f t="shared" si="138"/>
        <v>1.5903386877313401E-2</v>
      </c>
      <c r="FQ19" s="240">
        <f t="shared" si="139"/>
        <v>1.0849943469392336</v>
      </c>
      <c r="FR19" s="84">
        <f t="shared" si="140"/>
        <v>0</v>
      </c>
      <c r="FS19" s="84">
        <f>IF(FR19="","",IF(OR(FR19=1,IF(ISNA(MATCH("מוגן",$I19:FR19,0)),FALSE,TRUE)),1,0))</f>
        <v>0</v>
      </c>
      <c r="FT19" s="241">
        <f t="shared" si="141"/>
        <v>1.5903386877313401E-2</v>
      </c>
      <c r="FU19" s="241" t="str">
        <f t="shared" si="142"/>
        <v>סיום</v>
      </c>
      <c r="FV19" s="242">
        <f t="shared" si="143"/>
        <v>1.5903386877313401E-2</v>
      </c>
      <c r="FW19" s="240">
        <f t="shared" si="144"/>
        <v>1.0849943469392336</v>
      </c>
      <c r="FX19" s="84">
        <f t="shared" si="145"/>
        <v>0</v>
      </c>
      <c r="FY19" s="84">
        <f>IF(FX19="","",IF(OR(FX19=1,IF(ISNA(MATCH("מוגן",$I19:FX19,0)),FALSE,TRUE)),1,0))</f>
        <v>0</v>
      </c>
      <c r="FZ19" s="241">
        <f t="shared" si="146"/>
        <v>1.5903386877313401E-2</v>
      </c>
      <c r="GA19" s="241" t="str">
        <f t="shared" si="147"/>
        <v>סיום</v>
      </c>
      <c r="GB19" s="242">
        <f t="shared" si="148"/>
        <v>1.5903386877313401E-2</v>
      </c>
      <c r="GC19" s="240">
        <f t="shared" si="149"/>
        <v>1.0849943469392336</v>
      </c>
      <c r="GD19" s="84">
        <f t="shared" si="150"/>
        <v>0</v>
      </c>
      <c r="GE19" s="84">
        <f>IF(GD19="","",IF(OR(GD19=1,IF(ISNA(MATCH("מוגן",$I19:GD19,0)),FALSE,TRUE)),1,0))</f>
        <v>0</v>
      </c>
      <c r="GF19" s="241">
        <f t="shared" si="151"/>
        <v>1.5903386877313401E-2</v>
      </c>
      <c r="GG19" s="241" t="str">
        <f t="shared" si="152"/>
        <v>סיום</v>
      </c>
      <c r="GH19" s="242">
        <f t="shared" si="153"/>
        <v>1.5903386877313401E-2</v>
      </c>
      <c r="GI19" s="240">
        <f t="shared" si="154"/>
        <v>1.0849943469392336</v>
      </c>
      <c r="GJ19" s="84">
        <f t="shared" si="155"/>
        <v>0</v>
      </c>
      <c r="GK19" s="84">
        <f>IF(GJ19="","",IF(OR(GJ19=1,IF(ISNA(MATCH("מוגן",$I19:GJ19,0)),FALSE,TRUE)),1,0))</f>
        <v>0</v>
      </c>
      <c r="GL19" s="241">
        <f t="shared" si="156"/>
        <v>1.5903386877313401E-2</v>
      </c>
      <c r="GM19" s="241" t="str">
        <f t="shared" si="157"/>
        <v>סיום</v>
      </c>
      <c r="GN19" s="242">
        <f t="shared" si="158"/>
        <v>1.5903386877313401E-2</v>
      </c>
      <c r="GO19" s="240">
        <f t="shared" si="159"/>
        <v>1.0849943469392336</v>
      </c>
      <c r="GP19" s="84">
        <f t="shared" si="160"/>
        <v>0</v>
      </c>
      <c r="GQ19" s="84">
        <f>IF(GP19="","",IF(OR(GP19=1,IF(ISNA(MATCH("מוגן",$I19:GP19,0)),FALSE,TRUE)),1,0))</f>
        <v>0</v>
      </c>
      <c r="GR19" s="241">
        <f t="shared" si="161"/>
        <v>1.5903386877313401E-2</v>
      </c>
      <c r="GS19" s="241" t="str">
        <f t="shared" si="162"/>
        <v>סיום</v>
      </c>
      <c r="GT19" s="242">
        <f t="shared" si="163"/>
        <v>1.5903386877313401E-2</v>
      </c>
      <c r="GU19" s="240">
        <f t="shared" si="164"/>
        <v>1.0849943469392336</v>
      </c>
      <c r="GV19" s="84">
        <f t="shared" si="165"/>
        <v>0</v>
      </c>
      <c r="GW19" s="84">
        <f>IF(GV19="","",IF(OR(GV19=1,IF(ISNA(MATCH("מוגן",$I19:GV19,0)),FALSE,TRUE)),1,0))</f>
        <v>0</v>
      </c>
      <c r="GX19" s="241">
        <f t="shared" si="166"/>
        <v>1.5903386877313401E-2</v>
      </c>
      <c r="GY19" s="241" t="str">
        <f t="shared" si="167"/>
        <v>סיום</v>
      </c>
      <c r="GZ19" s="242">
        <f t="shared" si="168"/>
        <v>1.5903386877313401E-2</v>
      </c>
      <c r="HA19" s="119">
        <f t="shared" si="169"/>
        <v>1571604.7365406682</v>
      </c>
      <c r="HB19" s="246" t="str">
        <f t="shared" si="170"/>
        <v>OK</v>
      </c>
      <c r="HC19" s="244">
        <f t="shared" si="171"/>
        <v>1.0849943469392336</v>
      </c>
      <c r="HD19" s="245">
        <f t="shared" si="172"/>
        <v>1.5903386877313401E-2</v>
      </c>
      <c r="HE19" s="111">
        <f t="shared" si="173"/>
        <v>0</v>
      </c>
      <c r="HF19" s="111">
        <f t="shared" si="174"/>
        <v>1</v>
      </c>
      <c r="HG19" s="111" t="b">
        <f>OR(B19="",ISNA(MATCH(C19,{0,1},0)))</f>
        <v>0</v>
      </c>
    </row>
    <row r="20" spans="1:215">
      <c r="A20" s="120">
        <f>ייצוב!A16</f>
        <v>12</v>
      </c>
      <c r="B20" s="121" t="str">
        <f>ייצוב!B16</f>
        <v/>
      </c>
      <c r="C20" s="67"/>
      <c r="D20" s="240" t="str">
        <f>ייצוב!E16</f>
        <v/>
      </c>
      <c r="E20" s="240" t="str">
        <f>ייצוב!G16</f>
        <v/>
      </c>
      <c r="F20" s="240" t="str">
        <f t="shared" si="0"/>
        <v/>
      </c>
      <c r="G20" s="84" t="str">
        <f t="shared" si="1"/>
        <v/>
      </c>
      <c r="H20" s="241" t="str">
        <f t="shared" si="2"/>
        <v/>
      </c>
      <c r="I20" s="241" t="str">
        <f t="array" ref="I20">IF(H20="","",IF(G20=1,"מוגן",H20/SUMIF(G$9:G$41,"=0",H$9:H$41)))</f>
        <v/>
      </c>
      <c r="J20" s="242" t="str">
        <f t="shared" si="3"/>
        <v/>
      </c>
      <c r="K20" s="240" t="str">
        <f t="shared" si="4"/>
        <v/>
      </c>
      <c r="L20" s="84" t="str">
        <f t="shared" si="5"/>
        <v/>
      </c>
      <c r="M20" s="84" t="str">
        <f>IF(L20="","",IF(OR(L20=1,IF(ISNA(MATCH("מוגן",$I20:L20,0)),FALSE,TRUE)),1,0))</f>
        <v/>
      </c>
      <c r="N20" s="241" t="str">
        <f t="shared" si="6"/>
        <v/>
      </c>
      <c r="O20" s="241" t="str">
        <f t="shared" si="7"/>
        <v/>
      </c>
      <c r="P20" s="242" t="str">
        <f t="shared" si="8"/>
        <v/>
      </c>
      <c r="Q20" s="240" t="str">
        <f t="shared" si="9"/>
        <v/>
      </c>
      <c r="R20" s="84" t="str">
        <f t="shared" si="10"/>
        <v/>
      </c>
      <c r="S20" s="84" t="str">
        <f>IF(R20="","",IF(OR(R20=1,IF(ISNA(MATCH("מוגן",$I20:R20,0)),FALSE,TRUE)),1,0))</f>
        <v/>
      </c>
      <c r="T20" s="241" t="str">
        <f t="shared" si="11"/>
        <v/>
      </c>
      <c r="U20" s="241" t="str">
        <f t="shared" si="12"/>
        <v/>
      </c>
      <c r="V20" s="242" t="str">
        <f t="shared" si="13"/>
        <v/>
      </c>
      <c r="W20" s="240" t="str">
        <f t="shared" si="14"/>
        <v/>
      </c>
      <c r="X20" s="84" t="str">
        <f t="shared" si="15"/>
        <v/>
      </c>
      <c r="Y20" s="84" t="str">
        <f>IF(X20="","",IF(OR(X20=1,IF(ISNA(MATCH("מוגן",$I20:X20,0)),FALSE,TRUE)),1,0))</f>
        <v/>
      </c>
      <c r="Z20" s="241" t="str">
        <f t="shared" si="16"/>
        <v/>
      </c>
      <c r="AA20" s="241" t="str">
        <f t="shared" si="17"/>
        <v/>
      </c>
      <c r="AB20" s="242" t="str">
        <f t="shared" si="18"/>
        <v/>
      </c>
      <c r="AC20" s="240" t="str">
        <f t="shared" si="19"/>
        <v/>
      </c>
      <c r="AD20" s="84" t="str">
        <f t="shared" si="20"/>
        <v/>
      </c>
      <c r="AE20" s="84" t="str">
        <f>IF(AD20="","",IF(OR(AD20=1,IF(ISNA(MATCH("מוגן",$I20:AD20,0)),FALSE,TRUE)),1,0))</f>
        <v/>
      </c>
      <c r="AF20" s="241" t="str">
        <f t="shared" si="21"/>
        <v/>
      </c>
      <c r="AG20" s="241" t="str">
        <f t="shared" si="22"/>
        <v/>
      </c>
      <c r="AH20" s="242" t="str">
        <f t="shared" si="23"/>
        <v/>
      </c>
      <c r="AI20" s="240" t="str">
        <f t="shared" si="24"/>
        <v/>
      </c>
      <c r="AJ20" s="84" t="str">
        <f t="shared" si="25"/>
        <v/>
      </c>
      <c r="AK20" s="84" t="str">
        <f>IF(AJ20="","",IF(OR(AJ20=1,IF(ISNA(MATCH("מוגן",$I20:AJ20,0)),FALSE,TRUE)),1,0))</f>
        <v/>
      </c>
      <c r="AL20" s="241" t="str">
        <f t="shared" si="26"/>
        <v/>
      </c>
      <c r="AM20" s="241" t="str">
        <f t="shared" si="27"/>
        <v/>
      </c>
      <c r="AN20" s="242" t="str">
        <f t="shared" si="28"/>
        <v/>
      </c>
      <c r="AO20" s="240" t="str">
        <f t="shared" si="29"/>
        <v/>
      </c>
      <c r="AP20" s="84" t="str">
        <f t="shared" si="30"/>
        <v/>
      </c>
      <c r="AQ20" s="84" t="str">
        <f>IF(AP20="","",IF(OR(AP20=1,IF(ISNA(MATCH("מוגן",$I20:AP20,0)),FALSE,TRUE)),1,0))</f>
        <v/>
      </c>
      <c r="AR20" s="241" t="str">
        <f t="shared" si="31"/>
        <v/>
      </c>
      <c r="AS20" s="241" t="str">
        <f t="shared" si="32"/>
        <v/>
      </c>
      <c r="AT20" s="242" t="str">
        <f t="shared" si="33"/>
        <v/>
      </c>
      <c r="AU20" s="240" t="str">
        <f t="shared" si="34"/>
        <v/>
      </c>
      <c r="AV20" s="84" t="str">
        <f t="shared" si="35"/>
        <v/>
      </c>
      <c r="AW20" s="84" t="str">
        <f>IF(AV20="","",IF(OR(AV20=1,IF(ISNA(MATCH("מוגן",$I20:AV20,0)),FALSE,TRUE)),1,0))</f>
        <v/>
      </c>
      <c r="AX20" s="241" t="str">
        <f t="shared" si="36"/>
        <v/>
      </c>
      <c r="AY20" s="241" t="str">
        <f t="shared" si="37"/>
        <v/>
      </c>
      <c r="AZ20" s="242" t="str">
        <f t="shared" si="38"/>
        <v/>
      </c>
      <c r="BA20" s="240" t="str">
        <f t="shared" si="39"/>
        <v/>
      </c>
      <c r="BB20" s="84" t="str">
        <f t="shared" si="40"/>
        <v/>
      </c>
      <c r="BC20" s="84" t="str">
        <f>IF(BB20="","",IF(OR(BB20=1,IF(ISNA(MATCH("מוגן",$I20:BB20,0)),FALSE,TRUE)),1,0))</f>
        <v/>
      </c>
      <c r="BD20" s="241" t="str">
        <f t="shared" si="41"/>
        <v/>
      </c>
      <c r="BE20" s="241" t="str">
        <f t="shared" si="42"/>
        <v/>
      </c>
      <c r="BF20" s="242" t="str">
        <f t="shared" si="43"/>
        <v/>
      </c>
      <c r="BG20" s="240" t="str">
        <f t="shared" si="44"/>
        <v/>
      </c>
      <c r="BH20" s="84" t="str">
        <f t="shared" si="45"/>
        <v/>
      </c>
      <c r="BI20" s="84" t="str">
        <f>IF(BH20="","",IF(OR(BH20=1,IF(ISNA(MATCH("מוגן",$I20:BH20,0)),FALSE,TRUE)),1,0))</f>
        <v/>
      </c>
      <c r="BJ20" s="241" t="str">
        <f t="shared" si="46"/>
        <v/>
      </c>
      <c r="BK20" s="241" t="str">
        <f t="shared" si="47"/>
        <v/>
      </c>
      <c r="BL20" s="242" t="str">
        <f t="shared" si="48"/>
        <v/>
      </c>
      <c r="BM20" s="240" t="str">
        <f t="shared" si="49"/>
        <v/>
      </c>
      <c r="BN20" s="84" t="str">
        <f t="shared" si="50"/>
        <v/>
      </c>
      <c r="BO20" s="84" t="str">
        <f>IF(BN20="","",IF(OR(BN20=1,IF(ISNA(MATCH("מוגן",$I20:BN20,0)),FALSE,TRUE)),1,0))</f>
        <v/>
      </c>
      <c r="BP20" s="241" t="str">
        <f t="shared" si="51"/>
        <v/>
      </c>
      <c r="BQ20" s="241" t="str">
        <f t="shared" si="52"/>
        <v/>
      </c>
      <c r="BR20" s="242" t="str">
        <f t="shared" si="53"/>
        <v/>
      </c>
      <c r="BS20" s="240" t="str">
        <f t="shared" si="54"/>
        <v/>
      </c>
      <c r="BT20" s="84" t="str">
        <f t="shared" si="55"/>
        <v/>
      </c>
      <c r="BU20" s="84" t="str">
        <f>IF(BT20="","",IF(OR(BT20=1,IF(ISNA(MATCH("מוגן",$I20:BT20,0)),FALSE,TRUE)),1,0))</f>
        <v/>
      </c>
      <c r="BV20" s="241" t="str">
        <f t="shared" si="56"/>
        <v/>
      </c>
      <c r="BW20" s="241" t="str">
        <f t="shared" si="57"/>
        <v/>
      </c>
      <c r="BX20" s="242" t="str">
        <f t="shared" si="58"/>
        <v/>
      </c>
      <c r="BY20" s="240" t="str">
        <f t="shared" si="59"/>
        <v/>
      </c>
      <c r="BZ20" s="84" t="str">
        <f t="shared" si="60"/>
        <v/>
      </c>
      <c r="CA20" s="84" t="str">
        <f>IF(BZ20="","",IF(OR(BZ20=1,IF(ISNA(MATCH("מוגן",$I20:BZ20,0)),FALSE,TRUE)),1,0))</f>
        <v/>
      </c>
      <c r="CB20" s="241" t="str">
        <f t="shared" si="61"/>
        <v/>
      </c>
      <c r="CC20" s="241" t="str">
        <f t="shared" si="62"/>
        <v/>
      </c>
      <c r="CD20" s="242" t="str">
        <f t="shared" si="63"/>
        <v/>
      </c>
      <c r="CE20" s="240" t="str">
        <f t="shared" si="64"/>
        <v/>
      </c>
      <c r="CF20" s="84" t="str">
        <f t="shared" si="65"/>
        <v/>
      </c>
      <c r="CG20" s="84" t="str">
        <f>IF(CF20="","",IF(OR(CF20=1,IF(ISNA(MATCH("מוגן",$I20:CF20,0)),FALSE,TRUE)),1,0))</f>
        <v/>
      </c>
      <c r="CH20" s="241" t="str">
        <f t="shared" si="66"/>
        <v/>
      </c>
      <c r="CI20" s="241" t="str">
        <f t="shared" si="67"/>
        <v/>
      </c>
      <c r="CJ20" s="242" t="str">
        <f t="shared" si="68"/>
        <v/>
      </c>
      <c r="CK20" s="240" t="str">
        <f t="shared" si="69"/>
        <v/>
      </c>
      <c r="CL20" s="84" t="str">
        <f t="shared" si="70"/>
        <v/>
      </c>
      <c r="CM20" s="84" t="str">
        <f>IF(CL20="","",IF(OR(CL20=1,IF(ISNA(MATCH("מוגן",$I20:CL20,0)),FALSE,TRUE)),1,0))</f>
        <v/>
      </c>
      <c r="CN20" s="241" t="str">
        <f t="shared" si="71"/>
        <v/>
      </c>
      <c r="CO20" s="241" t="str">
        <f t="shared" si="72"/>
        <v/>
      </c>
      <c r="CP20" s="242" t="str">
        <f t="shared" si="73"/>
        <v/>
      </c>
      <c r="CQ20" s="240" t="str">
        <f t="shared" si="74"/>
        <v/>
      </c>
      <c r="CR20" s="84" t="str">
        <f t="shared" si="75"/>
        <v/>
      </c>
      <c r="CS20" s="84" t="str">
        <f>IF(CR20="","",IF(OR(CR20=1,IF(ISNA(MATCH("מוגן",$I20:CR20,0)),FALSE,TRUE)),1,0))</f>
        <v/>
      </c>
      <c r="CT20" s="241" t="str">
        <f t="shared" si="76"/>
        <v/>
      </c>
      <c r="CU20" s="241" t="str">
        <f t="shared" si="77"/>
        <v/>
      </c>
      <c r="CV20" s="242" t="str">
        <f t="shared" si="78"/>
        <v/>
      </c>
      <c r="CW20" s="240" t="str">
        <f t="shared" si="79"/>
        <v/>
      </c>
      <c r="CX20" s="84" t="str">
        <f t="shared" si="80"/>
        <v/>
      </c>
      <c r="CY20" s="84" t="str">
        <f>IF(CX20="","",IF(OR(CX20=1,IF(ISNA(MATCH("מוגן",$I20:CX20,0)),FALSE,TRUE)),1,0))</f>
        <v/>
      </c>
      <c r="CZ20" s="241" t="str">
        <f t="shared" si="81"/>
        <v/>
      </c>
      <c r="DA20" s="241" t="str">
        <f t="shared" si="82"/>
        <v/>
      </c>
      <c r="DB20" s="242" t="str">
        <f t="shared" si="83"/>
        <v/>
      </c>
      <c r="DC20" s="240" t="str">
        <f t="shared" si="84"/>
        <v/>
      </c>
      <c r="DD20" s="84" t="str">
        <f t="shared" si="85"/>
        <v/>
      </c>
      <c r="DE20" s="84" t="str">
        <f>IF(DD20="","",IF(OR(DD20=1,IF(ISNA(MATCH("מוגן",$I20:DD20,0)),FALSE,TRUE)),1,0))</f>
        <v/>
      </c>
      <c r="DF20" s="241" t="str">
        <f t="shared" si="86"/>
        <v/>
      </c>
      <c r="DG20" s="241" t="str">
        <f t="shared" si="87"/>
        <v/>
      </c>
      <c r="DH20" s="242" t="str">
        <f t="shared" si="88"/>
        <v/>
      </c>
      <c r="DI20" s="240" t="str">
        <f t="shared" si="89"/>
        <v/>
      </c>
      <c r="DJ20" s="84" t="str">
        <f t="shared" si="90"/>
        <v/>
      </c>
      <c r="DK20" s="84" t="str">
        <f>IF(DJ20="","",IF(OR(DJ20=1,IF(ISNA(MATCH("מוגן",$I20:DJ20,0)),FALSE,TRUE)),1,0))</f>
        <v/>
      </c>
      <c r="DL20" s="241" t="str">
        <f t="shared" si="91"/>
        <v/>
      </c>
      <c r="DM20" s="241" t="str">
        <f t="shared" si="92"/>
        <v/>
      </c>
      <c r="DN20" s="242" t="str">
        <f t="shared" si="93"/>
        <v/>
      </c>
      <c r="DO20" s="240" t="str">
        <f t="shared" si="94"/>
        <v/>
      </c>
      <c r="DP20" s="84" t="str">
        <f t="shared" si="95"/>
        <v/>
      </c>
      <c r="DQ20" s="84" t="str">
        <f>IF(DP20="","",IF(OR(DP20=1,IF(ISNA(MATCH("מוגן",$I20:DP20,0)),FALSE,TRUE)),1,0))</f>
        <v/>
      </c>
      <c r="DR20" s="241" t="str">
        <f t="shared" si="96"/>
        <v/>
      </c>
      <c r="DS20" s="241" t="str">
        <f t="shared" si="97"/>
        <v/>
      </c>
      <c r="DT20" s="242" t="str">
        <f t="shared" si="98"/>
        <v/>
      </c>
      <c r="DU20" s="240" t="str">
        <f t="shared" si="99"/>
        <v/>
      </c>
      <c r="DV20" s="84" t="str">
        <f t="shared" si="100"/>
        <v/>
      </c>
      <c r="DW20" s="84" t="str">
        <f>IF(DV20="","",IF(OR(DV20=1,IF(ISNA(MATCH("מוגן",$I20:DV20,0)),FALSE,TRUE)),1,0))</f>
        <v/>
      </c>
      <c r="DX20" s="241" t="str">
        <f t="shared" si="101"/>
        <v/>
      </c>
      <c r="DY20" s="241" t="str">
        <f t="shared" si="102"/>
        <v/>
      </c>
      <c r="DZ20" s="242" t="str">
        <f t="shared" si="103"/>
        <v/>
      </c>
      <c r="EA20" s="240" t="str">
        <f t="shared" si="104"/>
        <v/>
      </c>
      <c r="EB20" s="84" t="str">
        <f t="shared" si="105"/>
        <v/>
      </c>
      <c r="EC20" s="84" t="str">
        <f>IF(EB20="","",IF(OR(EB20=1,IF(ISNA(MATCH("מוגן",$I20:EB20,0)),FALSE,TRUE)),1,0))</f>
        <v/>
      </c>
      <c r="ED20" s="241" t="str">
        <f t="shared" si="106"/>
        <v/>
      </c>
      <c r="EE20" s="241" t="str">
        <f t="shared" si="107"/>
        <v/>
      </c>
      <c r="EF20" s="242" t="str">
        <f t="shared" si="108"/>
        <v/>
      </c>
      <c r="EG20" s="240" t="str">
        <f t="shared" si="109"/>
        <v/>
      </c>
      <c r="EH20" s="84" t="str">
        <f t="shared" si="110"/>
        <v/>
      </c>
      <c r="EI20" s="84" t="str">
        <f>IF(EH20="","",IF(OR(EH20=1,IF(ISNA(MATCH("מוגן",$I20:EH20,0)),FALSE,TRUE)),1,0))</f>
        <v/>
      </c>
      <c r="EJ20" s="241" t="str">
        <f t="shared" si="111"/>
        <v/>
      </c>
      <c r="EK20" s="241" t="str">
        <f t="shared" si="112"/>
        <v/>
      </c>
      <c r="EL20" s="242" t="str">
        <f t="shared" si="113"/>
        <v/>
      </c>
      <c r="EM20" s="240" t="str">
        <f t="shared" si="114"/>
        <v/>
      </c>
      <c r="EN20" s="84" t="str">
        <f t="shared" si="115"/>
        <v/>
      </c>
      <c r="EO20" s="84" t="str">
        <f>IF(EN20="","",IF(OR(EN20=1,IF(ISNA(MATCH("מוגן",$I20:EN20,0)),FALSE,TRUE)),1,0))</f>
        <v/>
      </c>
      <c r="EP20" s="241" t="str">
        <f t="shared" si="116"/>
        <v/>
      </c>
      <c r="EQ20" s="241" t="str">
        <f t="shared" si="117"/>
        <v/>
      </c>
      <c r="ER20" s="242" t="str">
        <f t="shared" si="118"/>
        <v/>
      </c>
      <c r="ES20" s="240" t="str">
        <f t="shared" si="119"/>
        <v/>
      </c>
      <c r="ET20" s="84" t="str">
        <f t="shared" si="120"/>
        <v/>
      </c>
      <c r="EU20" s="84" t="str">
        <f>IF(ET20="","",IF(OR(ET20=1,IF(ISNA(MATCH("מוגן",$I20:ET20,0)),FALSE,TRUE)),1,0))</f>
        <v/>
      </c>
      <c r="EV20" s="241" t="str">
        <f t="shared" si="121"/>
        <v/>
      </c>
      <c r="EW20" s="241" t="str">
        <f t="shared" si="122"/>
        <v/>
      </c>
      <c r="EX20" s="242" t="str">
        <f t="shared" si="123"/>
        <v/>
      </c>
      <c r="EY20" s="240" t="str">
        <f t="shared" si="124"/>
        <v/>
      </c>
      <c r="EZ20" s="84" t="str">
        <f t="shared" si="125"/>
        <v/>
      </c>
      <c r="FA20" s="84" t="str">
        <f>IF(EZ20="","",IF(OR(EZ20=1,IF(ISNA(MATCH("מוגן",$I20:EZ20,0)),FALSE,TRUE)),1,0))</f>
        <v/>
      </c>
      <c r="FB20" s="241" t="str">
        <f t="shared" si="126"/>
        <v/>
      </c>
      <c r="FC20" s="241" t="str">
        <f t="shared" si="127"/>
        <v/>
      </c>
      <c r="FD20" s="242" t="str">
        <f t="shared" si="128"/>
        <v/>
      </c>
      <c r="FE20" s="240" t="str">
        <f t="shared" si="129"/>
        <v/>
      </c>
      <c r="FF20" s="84" t="str">
        <f t="shared" si="130"/>
        <v/>
      </c>
      <c r="FG20" s="84" t="str">
        <f>IF(FF20="","",IF(OR(FF20=1,IF(ISNA(MATCH("מוגן",$I20:FF20,0)),FALSE,TRUE)),1,0))</f>
        <v/>
      </c>
      <c r="FH20" s="241" t="str">
        <f t="shared" si="131"/>
        <v/>
      </c>
      <c r="FI20" s="241" t="str">
        <f t="shared" si="132"/>
        <v/>
      </c>
      <c r="FJ20" s="242" t="str">
        <f t="shared" si="133"/>
        <v/>
      </c>
      <c r="FK20" s="240" t="str">
        <f t="shared" si="134"/>
        <v/>
      </c>
      <c r="FL20" s="84" t="str">
        <f t="shared" si="135"/>
        <v/>
      </c>
      <c r="FM20" s="84" t="str">
        <f>IF(FL20="","",IF(OR(FL20=1,IF(ISNA(MATCH("מוגן",$I20:FL20,0)),FALSE,TRUE)),1,0))</f>
        <v/>
      </c>
      <c r="FN20" s="241" t="str">
        <f t="shared" si="136"/>
        <v/>
      </c>
      <c r="FO20" s="241" t="str">
        <f t="shared" si="137"/>
        <v/>
      </c>
      <c r="FP20" s="242" t="str">
        <f t="shared" si="138"/>
        <v/>
      </c>
      <c r="FQ20" s="240" t="str">
        <f t="shared" si="139"/>
        <v/>
      </c>
      <c r="FR20" s="84" t="str">
        <f t="shared" si="140"/>
        <v/>
      </c>
      <c r="FS20" s="84" t="str">
        <f>IF(FR20="","",IF(OR(FR20=1,IF(ISNA(MATCH("מוגן",$I20:FR20,0)),FALSE,TRUE)),1,0))</f>
        <v/>
      </c>
      <c r="FT20" s="241" t="str">
        <f t="shared" si="141"/>
        <v/>
      </c>
      <c r="FU20" s="241" t="str">
        <f t="shared" si="142"/>
        <v/>
      </c>
      <c r="FV20" s="242" t="str">
        <f t="shared" si="143"/>
        <v/>
      </c>
      <c r="FW20" s="240" t="str">
        <f t="shared" si="144"/>
        <v/>
      </c>
      <c r="FX20" s="84" t="str">
        <f t="shared" si="145"/>
        <v/>
      </c>
      <c r="FY20" s="84" t="str">
        <f>IF(FX20="","",IF(OR(FX20=1,IF(ISNA(MATCH("מוגן",$I20:FX20,0)),FALSE,TRUE)),1,0))</f>
        <v/>
      </c>
      <c r="FZ20" s="241" t="str">
        <f t="shared" si="146"/>
        <v/>
      </c>
      <c r="GA20" s="241" t="str">
        <f t="shared" si="147"/>
        <v/>
      </c>
      <c r="GB20" s="242" t="str">
        <f t="shared" si="148"/>
        <v/>
      </c>
      <c r="GC20" s="240" t="str">
        <f t="shared" si="149"/>
        <v/>
      </c>
      <c r="GD20" s="84" t="str">
        <f t="shared" si="150"/>
        <v/>
      </c>
      <c r="GE20" s="84" t="str">
        <f>IF(GD20="","",IF(OR(GD20=1,IF(ISNA(MATCH("מוגן",$I20:GD20,0)),FALSE,TRUE)),1,0))</f>
        <v/>
      </c>
      <c r="GF20" s="241" t="str">
        <f t="shared" si="151"/>
        <v/>
      </c>
      <c r="GG20" s="241" t="str">
        <f t="shared" si="152"/>
        <v/>
      </c>
      <c r="GH20" s="242" t="str">
        <f t="shared" si="153"/>
        <v/>
      </c>
      <c r="GI20" s="240" t="str">
        <f t="shared" si="154"/>
        <v/>
      </c>
      <c r="GJ20" s="84" t="str">
        <f t="shared" si="155"/>
        <v/>
      </c>
      <c r="GK20" s="84" t="str">
        <f>IF(GJ20="","",IF(OR(GJ20=1,IF(ISNA(MATCH("מוגן",$I20:GJ20,0)),FALSE,TRUE)),1,0))</f>
        <v/>
      </c>
      <c r="GL20" s="241" t="str">
        <f t="shared" si="156"/>
        <v/>
      </c>
      <c r="GM20" s="241" t="str">
        <f t="shared" si="157"/>
        <v/>
      </c>
      <c r="GN20" s="242" t="str">
        <f t="shared" si="158"/>
        <v/>
      </c>
      <c r="GO20" s="240" t="str">
        <f t="shared" si="159"/>
        <v/>
      </c>
      <c r="GP20" s="84" t="str">
        <f t="shared" si="160"/>
        <v/>
      </c>
      <c r="GQ20" s="84" t="str">
        <f>IF(GP20="","",IF(OR(GP20=1,IF(ISNA(MATCH("מוגן",$I20:GP20,0)),FALSE,TRUE)),1,0))</f>
        <v/>
      </c>
      <c r="GR20" s="241" t="str">
        <f t="shared" si="161"/>
        <v/>
      </c>
      <c r="GS20" s="241" t="str">
        <f t="shared" si="162"/>
        <v/>
      </c>
      <c r="GT20" s="242" t="str">
        <f t="shared" si="163"/>
        <v/>
      </c>
      <c r="GU20" s="240" t="str">
        <f t="shared" si="164"/>
        <v/>
      </c>
      <c r="GV20" s="84" t="str">
        <f t="shared" si="165"/>
        <v/>
      </c>
      <c r="GW20" s="84" t="str">
        <f>IF(GV20="","",IF(OR(GV20=1,IF(ISNA(MATCH("מוגן",$I20:GV20,0)),FALSE,TRUE)),1,0))</f>
        <v/>
      </c>
      <c r="GX20" s="241" t="str">
        <f t="shared" si="166"/>
        <v/>
      </c>
      <c r="GY20" s="241" t="str">
        <f t="shared" si="167"/>
        <v/>
      </c>
      <c r="GZ20" s="242" t="str">
        <f t="shared" si="168"/>
        <v/>
      </c>
      <c r="HA20" s="119" t="str">
        <f t="shared" si="169"/>
        <v/>
      </c>
      <c r="HB20" s="246" t="str">
        <f t="shared" si="170"/>
        <v>OK</v>
      </c>
      <c r="HC20" s="244" t="str">
        <f t="shared" si="171"/>
        <v/>
      </c>
      <c r="HD20" s="245" t="str">
        <f t="shared" si="172"/>
        <v/>
      </c>
      <c r="HE20" s="111" t="str">
        <f t="shared" si="173"/>
        <v/>
      </c>
      <c r="HF20" s="111" t="str">
        <f t="shared" si="174"/>
        <v/>
      </c>
      <c r="HG20" s="111" t="b">
        <f>OR(B20="",ISNA(MATCH(C20,{0,1},0)))</f>
        <v>1</v>
      </c>
    </row>
    <row r="21" spans="1:215">
      <c r="A21" s="120">
        <f>ייצוב!A17</f>
        <v>13</v>
      </c>
      <c r="B21" s="121" t="str">
        <f>ייצוב!B17</f>
        <v>עכו</v>
      </c>
      <c r="C21" s="67"/>
      <c r="D21" s="240">
        <f>ייצוב!E17</f>
        <v>1.4283931387898501E-2</v>
      </c>
      <c r="E21" s="240">
        <f>ייצוב!G17</f>
        <v>1.4784758390725398E-2</v>
      </c>
      <c r="F21" s="240">
        <f t="shared" si="0"/>
        <v>1.035062266068514</v>
      </c>
      <c r="G21" s="84">
        <f t="shared" si="1"/>
        <v>0</v>
      </c>
      <c r="H21" s="241">
        <f t="shared" si="2"/>
        <v>1.4784758390725398E-2</v>
      </c>
      <c r="I21" s="241">
        <f t="array" ref="I21">IF(H21="","",IF(G21=1,"מוגן",H21/SUMIF(G$9:G$41,"=0",H$9:H$41)))</f>
        <v>1.4784758390725398E-2</v>
      </c>
      <c r="J21" s="242">
        <f t="shared" si="3"/>
        <v>1.4784758390725398E-2</v>
      </c>
      <c r="K21" s="240">
        <f t="shared" si="4"/>
        <v>1.035062266068514</v>
      </c>
      <c r="L21" s="84">
        <f t="shared" si="5"/>
        <v>0</v>
      </c>
      <c r="M21" s="84">
        <f>IF(L21="","",IF(OR(L21=1,IF(ISNA(MATCH("מוגן",$I21:L21,0)),FALSE,TRUE)),1,0))</f>
        <v>0</v>
      </c>
      <c r="N21" s="241">
        <f t="shared" si="6"/>
        <v>1.4784758390725398E-2</v>
      </c>
      <c r="O21" s="241" t="str">
        <f t="shared" si="7"/>
        <v>סיום</v>
      </c>
      <c r="P21" s="242">
        <f t="shared" si="8"/>
        <v>1.4784758390725398E-2</v>
      </c>
      <c r="Q21" s="240">
        <f t="shared" si="9"/>
        <v>1.035062266068514</v>
      </c>
      <c r="R21" s="84">
        <f t="shared" si="10"/>
        <v>0</v>
      </c>
      <c r="S21" s="84">
        <f>IF(R21="","",IF(OR(R21=1,IF(ISNA(MATCH("מוגן",$I21:R21,0)),FALSE,TRUE)),1,0))</f>
        <v>0</v>
      </c>
      <c r="T21" s="241">
        <f t="shared" si="11"/>
        <v>1.4784758390725398E-2</v>
      </c>
      <c r="U21" s="241" t="str">
        <f t="shared" si="12"/>
        <v>סיום</v>
      </c>
      <c r="V21" s="242">
        <f t="shared" si="13"/>
        <v>1.4784758390725398E-2</v>
      </c>
      <c r="W21" s="240">
        <f t="shared" si="14"/>
        <v>1.035062266068514</v>
      </c>
      <c r="X21" s="84">
        <f t="shared" si="15"/>
        <v>0</v>
      </c>
      <c r="Y21" s="84">
        <f>IF(X21="","",IF(OR(X21=1,IF(ISNA(MATCH("מוגן",$I21:X21,0)),FALSE,TRUE)),1,0))</f>
        <v>0</v>
      </c>
      <c r="Z21" s="241">
        <f t="shared" si="16"/>
        <v>1.4784758390725398E-2</v>
      </c>
      <c r="AA21" s="241" t="str">
        <f t="shared" si="17"/>
        <v>סיום</v>
      </c>
      <c r="AB21" s="242">
        <f t="shared" si="18"/>
        <v>1.4784758390725398E-2</v>
      </c>
      <c r="AC21" s="240">
        <f t="shared" si="19"/>
        <v>1.035062266068514</v>
      </c>
      <c r="AD21" s="84">
        <f t="shared" si="20"/>
        <v>0</v>
      </c>
      <c r="AE21" s="84">
        <f>IF(AD21="","",IF(OR(AD21=1,IF(ISNA(MATCH("מוגן",$I21:AD21,0)),FALSE,TRUE)),1,0))</f>
        <v>0</v>
      </c>
      <c r="AF21" s="241">
        <f t="shared" si="21"/>
        <v>1.4784758390725398E-2</v>
      </c>
      <c r="AG21" s="241" t="str">
        <f t="shared" si="22"/>
        <v>סיום</v>
      </c>
      <c r="AH21" s="242">
        <f t="shared" si="23"/>
        <v>1.4784758390725398E-2</v>
      </c>
      <c r="AI21" s="240">
        <f t="shared" si="24"/>
        <v>1.035062266068514</v>
      </c>
      <c r="AJ21" s="84">
        <f t="shared" si="25"/>
        <v>0</v>
      </c>
      <c r="AK21" s="84">
        <f>IF(AJ21="","",IF(OR(AJ21=1,IF(ISNA(MATCH("מוגן",$I21:AJ21,0)),FALSE,TRUE)),1,0))</f>
        <v>0</v>
      </c>
      <c r="AL21" s="241">
        <f t="shared" si="26"/>
        <v>1.4784758390725398E-2</v>
      </c>
      <c r="AM21" s="241" t="str">
        <f t="shared" si="27"/>
        <v>סיום</v>
      </c>
      <c r="AN21" s="242">
        <f t="shared" si="28"/>
        <v>1.4784758390725398E-2</v>
      </c>
      <c r="AO21" s="240">
        <f t="shared" si="29"/>
        <v>1.035062266068514</v>
      </c>
      <c r="AP21" s="84">
        <f t="shared" si="30"/>
        <v>0</v>
      </c>
      <c r="AQ21" s="84">
        <f>IF(AP21="","",IF(OR(AP21=1,IF(ISNA(MATCH("מוגן",$I21:AP21,0)),FALSE,TRUE)),1,0))</f>
        <v>0</v>
      </c>
      <c r="AR21" s="241">
        <f t="shared" si="31"/>
        <v>1.4784758390725398E-2</v>
      </c>
      <c r="AS21" s="241" t="str">
        <f t="shared" si="32"/>
        <v>סיום</v>
      </c>
      <c r="AT21" s="242">
        <f t="shared" si="33"/>
        <v>1.4784758390725398E-2</v>
      </c>
      <c r="AU21" s="240">
        <f t="shared" si="34"/>
        <v>1.035062266068514</v>
      </c>
      <c r="AV21" s="84">
        <f t="shared" si="35"/>
        <v>0</v>
      </c>
      <c r="AW21" s="84">
        <f>IF(AV21="","",IF(OR(AV21=1,IF(ISNA(MATCH("מוגן",$I21:AV21,0)),FALSE,TRUE)),1,0))</f>
        <v>0</v>
      </c>
      <c r="AX21" s="241">
        <f t="shared" si="36"/>
        <v>1.4784758390725398E-2</v>
      </c>
      <c r="AY21" s="241" t="str">
        <f t="shared" si="37"/>
        <v>סיום</v>
      </c>
      <c r="AZ21" s="242">
        <f t="shared" si="38"/>
        <v>1.4784758390725398E-2</v>
      </c>
      <c r="BA21" s="240">
        <f t="shared" si="39"/>
        <v>1.035062266068514</v>
      </c>
      <c r="BB21" s="84">
        <f t="shared" si="40"/>
        <v>0</v>
      </c>
      <c r="BC21" s="84">
        <f>IF(BB21="","",IF(OR(BB21=1,IF(ISNA(MATCH("מוגן",$I21:BB21,0)),FALSE,TRUE)),1,0))</f>
        <v>0</v>
      </c>
      <c r="BD21" s="241">
        <f t="shared" si="41"/>
        <v>1.4784758390725398E-2</v>
      </c>
      <c r="BE21" s="241" t="str">
        <f t="shared" si="42"/>
        <v>סיום</v>
      </c>
      <c r="BF21" s="242">
        <f t="shared" si="43"/>
        <v>1.4784758390725398E-2</v>
      </c>
      <c r="BG21" s="240">
        <f t="shared" si="44"/>
        <v>1.035062266068514</v>
      </c>
      <c r="BH21" s="84">
        <f t="shared" si="45"/>
        <v>0</v>
      </c>
      <c r="BI21" s="84">
        <f>IF(BH21="","",IF(OR(BH21=1,IF(ISNA(MATCH("מוגן",$I21:BH21,0)),FALSE,TRUE)),1,0))</f>
        <v>0</v>
      </c>
      <c r="BJ21" s="241">
        <f t="shared" si="46"/>
        <v>1.4784758390725398E-2</v>
      </c>
      <c r="BK21" s="241" t="str">
        <f t="shared" si="47"/>
        <v>סיום</v>
      </c>
      <c r="BL21" s="242">
        <f t="shared" si="48"/>
        <v>1.4784758390725398E-2</v>
      </c>
      <c r="BM21" s="240">
        <f t="shared" si="49"/>
        <v>1.035062266068514</v>
      </c>
      <c r="BN21" s="84">
        <f t="shared" si="50"/>
        <v>0</v>
      </c>
      <c r="BO21" s="84">
        <f>IF(BN21="","",IF(OR(BN21=1,IF(ISNA(MATCH("מוגן",$I21:BN21,0)),FALSE,TRUE)),1,0))</f>
        <v>0</v>
      </c>
      <c r="BP21" s="241">
        <f t="shared" si="51"/>
        <v>1.4784758390725398E-2</v>
      </c>
      <c r="BQ21" s="241" t="str">
        <f t="shared" si="52"/>
        <v>סיום</v>
      </c>
      <c r="BR21" s="242">
        <f t="shared" si="53"/>
        <v>1.4784758390725398E-2</v>
      </c>
      <c r="BS21" s="240">
        <f t="shared" si="54"/>
        <v>1.035062266068514</v>
      </c>
      <c r="BT21" s="84">
        <f t="shared" si="55"/>
        <v>0</v>
      </c>
      <c r="BU21" s="84">
        <f>IF(BT21="","",IF(OR(BT21=1,IF(ISNA(MATCH("מוגן",$I21:BT21,0)),FALSE,TRUE)),1,0))</f>
        <v>0</v>
      </c>
      <c r="BV21" s="241">
        <f t="shared" si="56"/>
        <v>1.4784758390725398E-2</v>
      </c>
      <c r="BW21" s="241" t="str">
        <f t="shared" si="57"/>
        <v>סיום</v>
      </c>
      <c r="BX21" s="242">
        <f t="shared" si="58"/>
        <v>1.4784758390725398E-2</v>
      </c>
      <c r="BY21" s="240">
        <f t="shared" si="59"/>
        <v>1.035062266068514</v>
      </c>
      <c r="BZ21" s="84">
        <f t="shared" si="60"/>
        <v>0</v>
      </c>
      <c r="CA21" s="84">
        <f>IF(BZ21="","",IF(OR(BZ21=1,IF(ISNA(MATCH("מוגן",$I21:BZ21,0)),FALSE,TRUE)),1,0))</f>
        <v>0</v>
      </c>
      <c r="CB21" s="241">
        <f t="shared" si="61"/>
        <v>1.4784758390725398E-2</v>
      </c>
      <c r="CC21" s="241" t="str">
        <f t="shared" si="62"/>
        <v>סיום</v>
      </c>
      <c r="CD21" s="242">
        <f t="shared" si="63"/>
        <v>1.4784758390725398E-2</v>
      </c>
      <c r="CE21" s="240">
        <f t="shared" si="64"/>
        <v>1.035062266068514</v>
      </c>
      <c r="CF21" s="84">
        <f t="shared" si="65"/>
        <v>0</v>
      </c>
      <c r="CG21" s="84">
        <f>IF(CF21="","",IF(OR(CF21=1,IF(ISNA(MATCH("מוגן",$I21:CF21,0)),FALSE,TRUE)),1,0))</f>
        <v>0</v>
      </c>
      <c r="CH21" s="241">
        <f t="shared" si="66"/>
        <v>1.4784758390725398E-2</v>
      </c>
      <c r="CI21" s="241" t="str">
        <f t="shared" si="67"/>
        <v>סיום</v>
      </c>
      <c r="CJ21" s="242">
        <f t="shared" si="68"/>
        <v>1.4784758390725398E-2</v>
      </c>
      <c r="CK21" s="240">
        <f t="shared" si="69"/>
        <v>1.035062266068514</v>
      </c>
      <c r="CL21" s="84">
        <f t="shared" si="70"/>
        <v>0</v>
      </c>
      <c r="CM21" s="84">
        <f>IF(CL21="","",IF(OR(CL21=1,IF(ISNA(MATCH("מוגן",$I21:CL21,0)),FALSE,TRUE)),1,0))</f>
        <v>0</v>
      </c>
      <c r="CN21" s="241">
        <f t="shared" si="71"/>
        <v>1.4784758390725398E-2</v>
      </c>
      <c r="CO21" s="241" t="str">
        <f t="shared" si="72"/>
        <v>סיום</v>
      </c>
      <c r="CP21" s="242">
        <f t="shared" si="73"/>
        <v>1.4784758390725398E-2</v>
      </c>
      <c r="CQ21" s="240">
        <f t="shared" si="74"/>
        <v>1.035062266068514</v>
      </c>
      <c r="CR21" s="84">
        <f t="shared" si="75"/>
        <v>0</v>
      </c>
      <c r="CS21" s="84">
        <f>IF(CR21="","",IF(OR(CR21=1,IF(ISNA(MATCH("מוגן",$I21:CR21,0)),FALSE,TRUE)),1,0))</f>
        <v>0</v>
      </c>
      <c r="CT21" s="241">
        <f t="shared" si="76"/>
        <v>1.4784758390725398E-2</v>
      </c>
      <c r="CU21" s="241" t="str">
        <f t="shared" si="77"/>
        <v>סיום</v>
      </c>
      <c r="CV21" s="242">
        <f t="shared" si="78"/>
        <v>1.4784758390725398E-2</v>
      </c>
      <c r="CW21" s="240">
        <f t="shared" si="79"/>
        <v>1.035062266068514</v>
      </c>
      <c r="CX21" s="84">
        <f t="shared" si="80"/>
        <v>0</v>
      </c>
      <c r="CY21" s="84">
        <f>IF(CX21="","",IF(OR(CX21=1,IF(ISNA(MATCH("מוגן",$I21:CX21,0)),FALSE,TRUE)),1,0))</f>
        <v>0</v>
      </c>
      <c r="CZ21" s="241">
        <f t="shared" si="81"/>
        <v>1.4784758390725398E-2</v>
      </c>
      <c r="DA21" s="241" t="str">
        <f t="shared" si="82"/>
        <v>סיום</v>
      </c>
      <c r="DB21" s="242">
        <f t="shared" si="83"/>
        <v>1.4784758390725398E-2</v>
      </c>
      <c r="DC21" s="240">
        <f t="shared" si="84"/>
        <v>1.035062266068514</v>
      </c>
      <c r="DD21" s="84">
        <f t="shared" si="85"/>
        <v>0</v>
      </c>
      <c r="DE21" s="84">
        <f>IF(DD21="","",IF(OR(DD21=1,IF(ISNA(MATCH("מוגן",$I21:DD21,0)),FALSE,TRUE)),1,0))</f>
        <v>0</v>
      </c>
      <c r="DF21" s="241">
        <f t="shared" si="86"/>
        <v>1.4784758390725398E-2</v>
      </c>
      <c r="DG21" s="241" t="str">
        <f t="shared" si="87"/>
        <v>סיום</v>
      </c>
      <c r="DH21" s="242">
        <f t="shared" si="88"/>
        <v>1.4784758390725398E-2</v>
      </c>
      <c r="DI21" s="240">
        <f t="shared" si="89"/>
        <v>1.035062266068514</v>
      </c>
      <c r="DJ21" s="84">
        <f t="shared" si="90"/>
        <v>0</v>
      </c>
      <c r="DK21" s="84">
        <f>IF(DJ21="","",IF(OR(DJ21=1,IF(ISNA(MATCH("מוגן",$I21:DJ21,0)),FALSE,TRUE)),1,0))</f>
        <v>0</v>
      </c>
      <c r="DL21" s="241">
        <f t="shared" si="91"/>
        <v>1.4784758390725398E-2</v>
      </c>
      <c r="DM21" s="241" t="str">
        <f t="shared" si="92"/>
        <v>סיום</v>
      </c>
      <c r="DN21" s="242">
        <f t="shared" si="93"/>
        <v>1.4784758390725398E-2</v>
      </c>
      <c r="DO21" s="240">
        <f t="shared" si="94"/>
        <v>1.035062266068514</v>
      </c>
      <c r="DP21" s="84">
        <f t="shared" si="95"/>
        <v>0</v>
      </c>
      <c r="DQ21" s="84">
        <f>IF(DP21="","",IF(OR(DP21=1,IF(ISNA(MATCH("מוגן",$I21:DP21,0)),FALSE,TRUE)),1,0))</f>
        <v>0</v>
      </c>
      <c r="DR21" s="241">
        <f t="shared" si="96"/>
        <v>1.4784758390725398E-2</v>
      </c>
      <c r="DS21" s="241" t="str">
        <f t="shared" si="97"/>
        <v>סיום</v>
      </c>
      <c r="DT21" s="242">
        <f t="shared" si="98"/>
        <v>1.4784758390725398E-2</v>
      </c>
      <c r="DU21" s="240">
        <f t="shared" si="99"/>
        <v>1.035062266068514</v>
      </c>
      <c r="DV21" s="84">
        <f t="shared" si="100"/>
        <v>0</v>
      </c>
      <c r="DW21" s="84">
        <f>IF(DV21="","",IF(OR(DV21=1,IF(ISNA(MATCH("מוגן",$I21:DV21,0)),FALSE,TRUE)),1,0))</f>
        <v>0</v>
      </c>
      <c r="DX21" s="241">
        <f t="shared" si="101"/>
        <v>1.4784758390725398E-2</v>
      </c>
      <c r="DY21" s="241" t="str">
        <f t="shared" si="102"/>
        <v>סיום</v>
      </c>
      <c r="DZ21" s="242">
        <f t="shared" si="103"/>
        <v>1.4784758390725398E-2</v>
      </c>
      <c r="EA21" s="240">
        <f t="shared" si="104"/>
        <v>1.035062266068514</v>
      </c>
      <c r="EB21" s="84">
        <f t="shared" si="105"/>
        <v>0</v>
      </c>
      <c r="EC21" s="84">
        <f>IF(EB21="","",IF(OR(EB21=1,IF(ISNA(MATCH("מוגן",$I21:EB21,0)),FALSE,TRUE)),1,0))</f>
        <v>0</v>
      </c>
      <c r="ED21" s="241">
        <f t="shared" si="106"/>
        <v>1.4784758390725398E-2</v>
      </c>
      <c r="EE21" s="241" t="str">
        <f t="shared" si="107"/>
        <v>סיום</v>
      </c>
      <c r="EF21" s="242">
        <f t="shared" si="108"/>
        <v>1.4784758390725398E-2</v>
      </c>
      <c r="EG21" s="240">
        <f t="shared" si="109"/>
        <v>1.035062266068514</v>
      </c>
      <c r="EH21" s="84">
        <f t="shared" si="110"/>
        <v>0</v>
      </c>
      <c r="EI21" s="84">
        <f>IF(EH21="","",IF(OR(EH21=1,IF(ISNA(MATCH("מוגן",$I21:EH21,0)),FALSE,TRUE)),1,0))</f>
        <v>0</v>
      </c>
      <c r="EJ21" s="241">
        <f t="shared" si="111"/>
        <v>1.4784758390725398E-2</v>
      </c>
      <c r="EK21" s="241" t="str">
        <f t="shared" si="112"/>
        <v>סיום</v>
      </c>
      <c r="EL21" s="242">
        <f t="shared" si="113"/>
        <v>1.4784758390725398E-2</v>
      </c>
      <c r="EM21" s="240">
        <f t="shared" si="114"/>
        <v>1.035062266068514</v>
      </c>
      <c r="EN21" s="84">
        <f t="shared" si="115"/>
        <v>0</v>
      </c>
      <c r="EO21" s="84">
        <f>IF(EN21="","",IF(OR(EN21=1,IF(ISNA(MATCH("מוגן",$I21:EN21,0)),FALSE,TRUE)),1,0))</f>
        <v>0</v>
      </c>
      <c r="EP21" s="241">
        <f t="shared" si="116"/>
        <v>1.4784758390725398E-2</v>
      </c>
      <c r="EQ21" s="241" t="str">
        <f t="shared" si="117"/>
        <v>סיום</v>
      </c>
      <c r="ER21" s="242">
        <f t="shared" si="118"/>
        <v>1.4784758390725398E-2</v>
      </c>
      <c r="ES21" s="240">
        <f t="shared" si="119"/>
        <v>1.035062266068514</v>
      </c>
      <c r="ET21" s="84">
        <f t="shared" si="120"/>
        <v>0</v>
      </c>
      <c r="EU21" s="84">
        <f>IF(ET21="","",IF(OR(ET21=1,IF(ISNA(MATCH("מוגן",$I21:ET21,0)),FALSE,TRUE)),1,0))</f>
        <v>0</v>
      </c>
      <c r="EV21" s="241">
        <f t="shared" si="121"/>
        <v>1.4784758390725398E-2</v>
      </c>
      <c r="EW21" s="241" t="str">
        <f t="shared" si="122"/>
        <v>סיום</v>
      </c>
      <c r="EX21" s="242">
        <f t="shared" si="123"/>
        <v>1.4784758390725398E-2</v>
      </c>
      <c r="EY21" s="240">
        <f t="shared" si="124"/>
        <v>1.035062266068514</v>
      </c>
      <c r="EZ21" s="84">
        <f t="shared" si="125"/>
        <v>0</v>
      </c>
      <c r="FA21" s="84">
        <f>IF(EZ21="","",IF(OR(EZ21=1,IF(ISNA(MATCH("מוגן",$I21:EZ21,0)),FALSE,TRUE)),1,0))</f>
        <v>0</v>
      </c>
      <c r="FB21" s="241">
        <f t="shared" si="126"/>
        <v>1.4784758390725398E-2</v>
      </c>
      <c r="FC21" s="241" t="str">
        <f t="shared" si="127"/>
        <v>סיום</v>
      </c>
      <c r="FD21" s="242">
        <f t="shared" si="128"/>
        <v>1.4784758390725398E-2</v>
      </c>
      <c r="FE21" s="240">
        <f t="shared" si="129"/>
        <v>1.035062266068514</v>
      </c>
      <c r="FF21" s="84">
        <f t="shared" si="130"/>
        <v>0</v>
      </c>
      <c r="FG21" s="84">
        <f>IF(FF21="","",IF(OR(FF21=1,IF(ISNA(MATCH("מוגן",$I21:FF21,0)),FALSE,TRUE)),1,0))</f>
        <v>0</v>
      </c>
      <c r="FH21" s="241">
        <f t="shared" si="131"/>
        <v>1.4784758390725398E-2</v>
      </c>
      <c r="FI21" s="241" t="str">
        <f t="shared" si="132"/>
        <v>סיום</v>
      </c>
      <c r="FJ21" s="242">
        <f t="shared" si="133"/>
        <v>1.4784758390725398E-2</v>
      </c>
      <c r="FK21" s="240">
        <f t="shared" si="134"/>
        <v>1.035062266068514</v>
      </c>
      <c r="FL21" s="84">
        <f t="shared" si="135"/>
        <v>0</v>
      </c>
      <c r="FM21" s="84">
        <f>IF(FL21="","",IF(OR(FL21=1,IF(ISNA(MATCH("מוגן",$I21:FL21,0)),FALSE,TRUE)),1,0))</f>
        <v>0</v>
      </c>
      <c r="FN21" s="241">
        <f t="shared" si="136"/>
        <v>1.4784758390725398E-2</v>
      </c>
      <c r="FO21" s="241" t="str">
        <f t="shared" si="137"/>
        <v>סיום</v>
      </c>
      <c r="FP21" s="242">
        <f t="shared" si="138"/>
        <v>1.4784758390725398E-2</v>
      </c>
      <c r="FQ21" s="240">
        <f t="shared" si="139"/>
        <v>1.035062266068514</v>
      </c>
      <c r="FR21" s="84">
        <f t="shared" si="140"/>
        <v>0</v>
      </c>
      <c r="FS21" s="84">
        <f>IF(FR21="","",IF(OR(FR21=1,IF(ISNA(MATCH("מוגן",$I21:FR21,0)),FALSE,TRUE)),1,0))</f>
        <v>0</v>
      </c>
      <c r="FT21" s="241">
        <f t="shared" si="141"/>
        <v>1.4784758390725398E-2</v>
      </c>
      <c r="FU21" s="241" t="str">
        <f t="shared" si="142"/>
        <v>סיום</v>
      </c>
      <c r="FV21" s="242">
        <f t="shared" si="143"/>
        <v>1.4784758390725398E-2</v>
      </c>
      <c r="FW21" s="240">
        <f t="shared" si="144"/>
        <v>1.035062266068514</v>
      </c>
      <c r="FX21" s="84">
        <f t="shared" si="145"/>
        <v>0</v>
      </c>
      <c r="FY21" s="84">
        <f>IF(FX21="","",IF(OR(FX21=1,IF(ISNA(MATCH("מוגן",$I21:FX21,0)),FALSE,TRUE)),1,0))</f>
        <v>0</v>
      </c>
      <c r="FZ21" s="241">
        <f t="shared" si="146"/>
        <v>1.4784758390725398E-2</v>
      </c>
      <c r="GA21" s="241" t="str">
        <f t="shared" si="147"/>
        <v>סיום</v>
      </c>
      <c r="GB21" s="242">
        <f t="shared" si="148"/>
        <v>1.4784758390725398E-2</v>
      </c>
      <c r="GC21" s="240">
        <f t="shared" si="149"/>
        <v>1.035062266068514</v>
      </c>
      <c r="GD21" s="84">
        <f t="shared" si="150"/>
        <v>0</v>
      </c>
      <c r="GE21" s="84">
        <f>IF(GD21="","",IF(OR(GD21=1,IF(ISNA(MATCH("מוגן",$I21:GD21,0)),FALSE,TRUE)),1,0))</f>
        <v>0</v>
      </c>
      <c r="GF21" s="241">
        <f t="shared" si="151"/>
        <v>1.4784758390725398E-2</v>
      </c>
      <c r="GG21" s="241" t="str">
        <f t="shared" si="152"/>
        <v>סיום</v>
      </c>
      <c r="GH21" s="242">
        <f t="shared" si="153"/>
        <v>1.4784758390725398E-2</v>
      </c>
      <c r="GI21" s="240">
        <f t="shared" si="154"/>
        <v>1.035062266068514</v>
      </c>
      <c r="GJ21" s="84">
        <f t="shared" si="155"/>
        <v>0</v>
      </c>
      <c r="GK21" s="84">
        <f>IF(GJ21="","",IF(OR(GJ21=1,IF(ISNA(MATCH("מוגן",$I21:GJ21,0)),FALSE,TRUE)),1,0))</f>
        <v>0</v>
      </c>
      <c r="GL21" s="241">
        <f t="shared" si="156"/>
        <v>1.4784758390725398E-2</v>
      </c>
      <c r="GM21" s="241" t="str">
        <f t="shared" si="157"/>
        <v>סיום</v>
      </c>
      <c r="GN21" s="242">
        <f t="shared" si="158"/>
        <v>1.4784758390725398E-2</v>
      </c>
      <c r="GO21" s="240">
        <f t="shared" si="159"/>
        <v>1.035062266068514</v>
      </c>
      <c r="GP21" s="84">
        <f t="shared" si="160"/>
        <v>0</v>
      </c>
      <c r="GQ21" s="84">
        <f>IF(GP21="","",IF(OR(GP21=1,IF(ISNA(MATCH("מוגן",$I21:GP21,0)),FALSE,TRUE)),1,0))</f>
        <v>0</v>
      </c>
      <c r="GR21" s="241">
        <f t="shared" si="161"/>
        <v>1.4784758390725398E-2</v>
      </c>
      <c r="GS21" s="241" t="str">
        <f t="shared" si="162"/>
        <v>סיום</v>
      </c>
      <c r="GT21" s="242">
        <f t="shared" si="163"/>
        <v>1.4784758390725398E-2</v>
      </c>
      <c r="GU21" s="240">
        <f t="shared" si="164"/>
        <v>1.035062266068514</v>
      </c>
      <c r="GV21" s="84">
        <f t="shared" si="165"/>
        <v>0</v>
      </c>
      <c r="GW21" s="84">
        <f>IF(GV21="","",IF(OR(GV21=1,IF(ISNA(MATCH("מוגן",$I21:GV21,0)),FALSE,TRUE)),1,0))</f>
        <v>0</v>
      </c>
      <c r="GX21" s="241">
        <f t="shared" si="166"/>
        <v>1.4784758390725398E-2</v>
      </c>
      <c r="GY21" s="241" t="str">
        <f t="shared" si="167"/>
        <v>סיום</v>
      </c>
      <c r="GZ21" s="242">
        <f t="shared" si="168"/>
        <v>1.4784758390725398E-2</v>
      </c>
      <c r="HA21" s="119">
        <f t="shared" si="169"/>
        <v>1461059.6154596412</v>
      </c>
      <c r="HB21" s="246" t="str">
        <f t="shared" si="170"/>
        <v>OK</v>
      </c>
      <c r="HC21" s="244">
        <f t="shared" si="171"/>
        <v>1.035062266068514</v>
      </c>
      <c r="HD21" s="245">
        <f t="shared" si="172"/>
        <v>1.4784758390725398E-2</v>
      </c>
      <c r="HE21" s="111">
        <f t="shared" si="173"/>
        <v>0</v>
      </c>
      <c r="HF21" s="111">
        <f t="shared" si="174"/>
        <v>1</v>
      </c>
      <c r="HG21" s="111" t="b">
        <f>OR(B21="",ISNA(MATCH(C21,{0,1},0)))</f>
        <v>0</v>
      </c>
    </row>
    <row r="22" spans="1:215">
      <c r="A22" s="120">
        <f>ייצוב!A18</f>
        <v>14</v>
      </c>
      <c r="B22" s="121" t="str">
        <f>ייצוב!B18</f>
        <v>הספרייה</v>
      </c>
      <c r="C22" s="67"/>
      <c r="D22" s="240">
        <f>ייצוב!E18</f>
        <v>8.3084280139301518E-3</v>
      </c>
      <c r="E22" s="240">
        <f>ייצוב!G18</f>
        <v>8.4703942713680643E-3</v>
      </c>
      <c r="F22" s="240">
        <f t="shared" si="0"/>
        <v>1.0194942120418393</v>
      </c>
      <c r="G22" s="84">
        <f t="shared" si="1"/>
        <v>0</v>
      </c>
      <c r="H22" s="241">
        <f t="shared" si="2"/>
        <v>8.4703942713680643E-3</v>
      </c>
      <c r="I22" s="241">
        <f t="array" ref="I22">IF(H22="","",IF(G22=1,"מוגן",H22/SUMIF(G$9:G$41,"=0",H$9:H$41)))</f>
        <v>8.4703942713680643E-3</v>
      </c>
      <c r="J22" s="242">
        <f t="shared" si="3"/>
        <v>8.4703942713680643E-3</v>
      </c>
      <c r="K22" s="240">
        <f t="shared" si="4"/>
        <v>1.0194942120418393</v>
      </c>
      <c r="L22" s="84">
        <f t="shared" si="5"/>
        <v>0</v>
      </c>
      <c r="M22" s="84">
        <f>IF(L22="","",IF(OR(L22=1,IF(ISNA(MATCH("מוגן",$I22:L22,0)),FALSE,TRUE)),1,0))</f>
        <v>0</v>
      </c>
      <c r="N22" s="241">
        <f t="shared" si="6"/>
        <v>8.4703942713680643E-3</v>
      </c>
      <c r="O22" s="241" t="str">
        <f t="shared" si="7"/>
        <v>סיום</v>
      </c>
      <c r="P22" s="242">
        <f t="shared" si="8"/>
        <v>8.4703942713680643E-3</v>
      </c>
      <c r="Q22" s="240">
        <f t="shared" si="9"/>
        <v>1.0194942120418393</v>
      </c>
      <c r="R22" s="84">
        <f t="shared" si="10"/>
        <v>0</v>
      </c>
      <c r="S22" s="84">
        <f>IF(R22="","",IF(OR(R22=1,IF(ISNA(MATCH("מוגן",$I22:R22,0)),FALSE,TRUE)),1,0))</f>
        <v>0</v>
      </c>
      <c r="T22" s="241">
        <f t="shared" si="11"/>
        <v>8.4703942713680643E-3</v>
      </c>
      <c r="U22" s="241" t="str">
        <f t="shared" si="12"/>
        <v>סיום</v>
      </c>
      <c r="V22" s="242">
        <f t="shared" si="13"/>
        <v>8.4703942713680643E-3</v>
      </c>
      <c r="W22" s="240">
        <f t="shared" si="14"/>
        <v>1.0194942120418393</v>
      </c>
      <c r="X22" s="84">
        <f t="shared" si="15"/>
        <v>0</v>
      </c>
      <c r="Y22" s="84">
        <f>IF(X22="","",IF(OR(X22=1,IF(ISNA(MATCH("מוגן",$I22:X22,0)),FALSE,TRUE)),1,0))</f>
        <v>0</v>
      </c>
      <c r="Z22" s="241">
        <f t="shared" si="16"/>
        <v>8.4703942713680643E-3</v>
      </c>
      <c r="AA22" s="241" t="str">
        <f t="shared" si="17"/>
        <v>סיום</v>
      </c>
      <c r="AB22" s="242">
        <f t="shared" si="18"/>
        <v>8.4703942713680643E-3</v>
      </c>
      <c r="AC22" s="240">
        <f t="shared" si="19"/>
        <v>1.0194942120418393</v>
      </c>
      <c r="AD22" s="84">
        <f t="shared" si="20"/>
        <v>0</v>
      </c>
      <c r="AE22" s="84">
        <f>IF(AD22="","",IF(OR(AD22=1,IF(ISNA(MATCH("מוגן",$I22:AD22,0)),FALSE,TRUE)),1,0))</f>
        <v>0</v>
      </c>
      <c r="AF22" s="241">
        <f t="shared" si="21"/>
        <v>8.4703942713680643E-3</v>
      </c>
      <c r="AG22" s="241" t="str">
        <f t="shared" si="22"/>
        <v>סיום</v>
      </c>
      <c r="AH22" s="242">
        <f t="shared" si="23"/>
        <v>8.4703942713680643E-3</v>
      </c>
      <c r="AI22" s="240">
        <f t="shared" si="24"/>
        <v>1.0194942120418393</v>
      </c>
      <c r="AJ22" s="84">
        <f t="shared" si="25"/>
        <v>0</v>
      </c>
      <c r="AK22" s="84">
        <f>IF(AJ22="","",IF(OR(AJ22=1,IF(ISNA(MATCH("מוגן",$I22:AJ22,0)),FALSE,TRUE)),1,0))</f>
        <v>0</v>
      </c>
      <c r="AL22" s="241">
        <f t="shared" si="26"/>
        <v>8.4703942713680643E-3</v>
      </c>
      <c r="AM22" s="241" t="str">
        <f t="shared" si="27"/>
        <v>סיום</v>
      </c>
      <c r="AN22" s="242">
        <f t="shared" si="28"/>
        <v>8.4703942713680643E-3</v>
      </c>
      <c r="AO22" s="240">
        <f t="shared" si="29"/>
        <v>1.0194942120418393</v>
      </c>
      <c r="AP22" s="84">
        <f t="shared" si="30"/>
        <v>0</v>
      </c>
      <c r="AQ22" s="84">
        <f>IF(AP22="","",IF(OR(AP22=1,IF(ISNA(MATCH("מוגן",$I22:AP22,0)),FALSE,TRUE)),1,0))</f>
        <v>0</v>
      </c>
      <c r="AR22" s="241">
        <f t="shared" si="31"/>
        <v>8.4703942713680643E-3</v>
      </c>
      <c r="AS22" s="241" t="str">
        <f t="shared" si="32"/>
        <v>סיום</v>
      </c>
      <c r="AT22" s="242">
        <f t="shared" si="33"/>
        <v>8.4703942713680643E-3</v>
      </c>
      <c r="AU22" s="240">
        <f t="shared" si="34"/>
        <v>1.0194942120418393</v>
      </c>
      <c r="AV22" s="84">
        <f t="shared" si="35"/>
        <v>0</v>
      </c>
      <c r="AW22" s="84">
        <f>IF(AV22="","",IF(OR(AV22=1,IF(ISNA(MATCH("מוגן",$I22:AV22,0)),FALSE,TRUE)),1,0))</f>
        <v>0</v>
      </c>
      <c r="AX22" s="241">
        <f t="shared" si="36"/>
        <v>8.4703942713680643E-3</v>
      </c>
      <c r="AY22" s="241" t="str">
        <f t="shared" si="37"/>
        <v>סיום</v>
      </c>
      <c r="AZ22" s="242">
        <f t="shared" si="38"/>
        <v>8.4703942713680643E-3</v>
      </c>
      <c r="BA22" s="240">
        <f t="shared" si="39"/>
        <v>1.0194942120418393</v>
      </c>
      <c r="BB22" s="84">
        <f t="shared" si="40"/>
        <v>0</v>
      </c>
      <c r="BC22" s="84">
        <f>IF(BB22="","",IF(OR(BB22=1,IF(ISNA(MATCH("מוגן",$I22:BB22,0)),FALSE,TRUE)),1,0))</f>
        <v>0</v>
      </c>
      <c r="BD22" s="241">
        <f t="shared" si="41"/>
        <v>8.4703942713680643E-3</v>
      </c>
      <c r="BE22" s="241" t="str">
        <f t="shared" si="42"/>
        <v>סיום</v>
      </c>
      <c r="BF22" s="242">
        <f t="shared" si="43"/>
        <v>8.4703942713680643E-3</v>
      </c>
      <c r="BG22" s="240">
        <f t="shared" si="44"/>
        <v>1.0194942120418393</v>
      </c>
      <c r="BH22" s="84">
        <f t="shared" si="45"/>
        <v>0</v>
      </c>
      <c r="BI22" s="84">
        <f>IF(BH22="","",IF(OR(BH22=1,IF(ISNA(MATCH("מוגן",$I22:BH22,0)),FALSE,TRUE)),1,0))</f>
        <v>0</v>
      </c>
      <c r="BJ22" s="241">
        <f t="shared" si="46"/>
        <v>8.4703942713680643E-3</v>
      </c>
      <c r="BK22" s="241" t="str">
        <f t="shared" si="47"/>
        <v>סיום</v>
      </c>
      <c r="BL22" s="242">
        <f t="shared" si="48"/>
        <v>8.4703942713680643E-3</v>
      </c>
      <c r="BM22" s="240">
        <f t="shared" si="49"/>
        <v>1.0194942120418393</v>
      </c>
      <c r="BN22" s="84">
        <f t="shared" si="50"/>
        <v>0</v>
      </c>
      <c r="BO22" s="84">
        <f>IF(BN22="","",IF(OR(BN22=1,IF(ISNA(MATCH("מוגן",$I22:BN22,0)),FALSE,TRUE)),1,0))</f>
        <v>0</v>
      </c>
      <c r="BP22" s="241">
        <f t="shared" si="51"/>
        <v>8.4703942713680643E-3</v>
      </c>
      <c r="BQ22" s="241" t="str">
        <f t="shared" si="52"/>
        <v>סיום</v>
      </c>
      <c r="BR22" s="242">
        <f t="shared" si="53"/>
        <v>8.4703942713680643E-3</v>
      </c>
      <c r="BS22" s="240">
        <f t="shared" si="54"/>
        <v>1.0194942120418393</v>
      </c>
      <c r="BT22" s="84">
        <f t="shared" si="55"/>
        <v>0</v>
      </c>
      <c r="BU22" s="84">
        <f>IF(BT22="","",IF(OR(BT22=1,IF(ISNA(MATCH("מוגן",$I22:BT22,0)),FALSE,TRUE)),1,0))</f>
        <v>0</v>
      </c>
      <c r="BV22" s="241">
        <f t="shared" si="56"/>
        <v>8.4703942713680643E-3</v>
      </c>
      <c r="BW22" s="241" t="str">
        <f t="shared" si="57"/>
        <v>סיום</v>
      </c>
      <c r="BX22" s="242">
        <f t="shared" si="58"/>
        <v>8.4703942713680643E-3</v>
      </c>
      <c r="BY22" s="240">
        <f t="shared" si="59"/>
        <v>1.0194942120418393</v>
      </c>
      <c r="BZ22" s="84">
        <f t="shared" si="60"/>
        <v>0</v>
      </c>
      <c r="CA22" s="84">
        <f>IF(BZ22="","",IF(OR(BZ22=1,IF(ISNA(MATCH("מוגן",$I22:BZ22,0)),FALSE,TRUE)),1,0))</f>
        <v>0</v>
      </c>
      <c r="CB22" s="241">
        <f t="shared" si="61"/>
        <v>8.4703942713680643E-3</v>
      </c>
      <c r="CC22" s="241" t="str">
        <f t="shared" si="62"/>
        <v>סיום</v>
      </c>
      <c r="CD22" s="242">
        <f t="shared" si="63"/>
        <v>8.4703942713680643E-3</v>
      </c>
      <c r="CE22" s="240">
        <f t="shared" si="64"/>
        <v>1.0194942120418393</v>
      </c>
      <c r="CF22" s="84">
        <f t="shared" si="65"/>
        <v>0</v>
      </c>
      <c r="CG22" s="84">
        <f>IF(CF22="","",IF(OR(CF22=1,IF(ISNA(MATCH("מוגן",$I22:CF22,0)),FALSE,TRUE)),1,0))</f>
        <v>0</v>
      </c>
      <c r="CH22" s="241">
        <f t="shared" si="66"/>
        <v>8.4703942713680643E-3</v>
      </c>
      <c r="CI22" s="241" t="str">
        <f t="shared" si="67"/>
        <v>סיום</v>
      </c>
      <c r="CJ22" s="242">
        <f t="shared" si="68"/>
        <v>8.4703942713680643E-3</v>
      </c>
      <c r="CK22" s="240">
        <f t="shared" si="69"/>
        <v>1.0194942120418393</v>
      </c>
      <c r="CL22" s="84">
        <f t="shared" si="70"/>
        <v>0</v>
      </c>
      <c r="CM22" s="84">
        <f>IF(CL22="","",IF(OR(CL22=1,IF(ISNA(MATCH("מוגן",$I22:CL22,0)),FALSE,TRUE)),1,0))</f>
        <v>0</v>
      </c>
      <c r="CN22" s="241">
        <f t="shared" si="71"/>
        <v>8.4703942713680643E-3</v>
      </c>
      <c r="CO22" s="241" t="str">
        <f t="shared" si="72"/>
        <v>סיום</v>
      </c>
      <c r="CP22" s="242">
        <f t="shared" si="73"/>
        <v>8.4703942713680643E-3</v>
      </c>
      <c r="CQ22" s="240">
        <f t="shared" si="74"/>
        <v>1.0194942120418393</v>
      </c>
      <c r="CR22" s="84">
        <f t="shared" si="75"/>
        <v>0</v>
      </c>
      <c r="CS22" s="84">
        <f>IF(CR22="","",IF(OR(CR22=1,IF(ISNA(MATCH("מוגן",$I22:CR22,0)),FALSE,TRUE)),1,0))</f>
        <v>0</v>
      </c>
      <c r="CT22" s="241">
        <f t="shared" si="76"/>
        <v>8.4703942713680643E-3</v>
      </c>
      <c r="CU22" s="241" t="str">
        <f t="shared" si="77"/>
        <v>סיום</v>
      </c>
      <c r="CV22" s="242">
        <f t="shared" si="78"/>
        <v>8.4703942713680643E-3</v>
      </c>
      <c r="CW22" s="240">
        <f t="shared" si="79"/>
        <v>1.0194942120418393</v>
      </c>
      <c r="CX22" s="84">
        <f t="shared" si="80"/>
        <v>0</v>
      </c>
      <c r="CY22" s="84">
        <f>IF(CX22="","",IF(OR(CX22=1,IF(ISNA(MATCH("מוגן",$I22:CX22,0)),FALSE,TRUE)),1,0))</f>
        <v>0</v>
      </c>
      <c r="CZ22" s="241">
        <f t="shared" si="81"/>
        <v>8.4703942713680643E-3</v>
      </c>
      <c r="DA22" s="241" t="str">
        <f t="shared" si="82"/>
        <v>סיום</v>
      </c>
      <c r="DB22" s="242">
        <f t="shared" si="83"/>
        <v>8.4703942713680643E-3</v>
      </c>
      <c r="DC22" s="240">
        <f t="shared" si="84"/>
        <v>1.0194942120418393</v>
      </c>
      <c r="DD22" s="84">
        <f t="shared" si="85"/>
        <v>0</v>
      </c>
      <c r="DE22" s="84">
        <f>IF(DD22="","",IF(OR(DD22=1,IF(ISNA(MATCH("מוגן",$I22:DD22,0)),FALSE,TRUE)),1,0))</f>
        <v>0</v>
      </c>
      <c r="DF22" s="241">
        <f t="shared" si="86"/>
        <v>8.4703942713680643E-3</v>
      </c>
      <c r="DG22" s="241" t="str">
        <f t="shared" si="87"/>
        <v>סיום</v>
      </c>
      <c r="DH22" s="242">
        <f t="shared" si="88"/>
        <v>8.4703942713680643E-3</v>
      </c>
      <c r="DI22" s="240">
        <f t="shared" si="89"/>
        <v>1.0194942120418393</v>
      </c>
      <c r="DJ22" s="84">
        <f t="shared" si="90"/>
        <v>0</v>
      </c>
      <c r="DK22" s="84">
        <f>IF(DJ22="","",IF(OR(DJ22=1,IF(ISNA(MATCH("מוגן",$I22:DJ22,0)),FALSE,TRUE)),1,0))</f>
        <v>0</v>
      </c>
      <c r="DL22" s="241">
        <f t="shared" si="91"/>
        <v>8.4703942713680643E-3</v>
      </c>
      <c r="DM22" s="241" t="str">
        <f t="shared" si="92"/>
        <v>סיום</v>
      </c>
      <c r="DN22" s="242">
        <f t="shared" si="93"/>
        <v>8.4703942713680643E-3</v>
      </c>
      <c r="DO22" s="240">
        <f t="shared" si="94"/>
        <v>1.0194942120418393</v>
      </c>
      <c r="DP22" s="84">
        <f t="shared" si="95"/>
        <v>0</v>
      </c>
      <c r="DQ22" s="84">
        <f>IF(DP22="","",IF(OR(DP22=1,IF(ISNA(MATCH("מוגן",$I22:DP22,0)),FALSE,TRUE)),1,0))</f>
        <v>0</v>
      </c>
      <c r="DR22" s="241">
        <f t="shared" si="96"/>
        <v>8.4703942713680643E-3</v>
      </c>
      <c r="DS22" s="241" t="str">
        <f t="shared" si="97"/>
        <v>סיום</v>
      </c>
      <c r="DT22" s="242">
        <f t="shared" si="98"/>
        <v>8.4703942713680643E-3</v>
      </c>
      <c r="DU22" s="240">
        <f t="shared" si="99"/>
        <v>1.0194942120418393</v>
      </c>
      <c r="DV22" s="84">
        <f t="shared" si="100"/>
        <v>0</v>
      </c>
      <c r="DW22" s="84">
        <f>IF(DV22="","",IF(OR(DV22=1,IF(ISNA(MATCH("מוגן",$I22:DV22,0)),FALSE,TRUE)),1,0))</f>
        <v>0</v>
      </c>
      <c r="DX22" s="241">
        <f t="shared" si="101"/>
        <v>8.4703942713680643E-3</v>
      </c>
      <c r="DY22" s="241" t="str">
        <f t="shared" si="102"/>
        <v>סיום</v>
      </c>
      <c r="DZ22" s="242">
        <f t="shared" si="103"/>
        <v>8.4703942713680643E-3</v>
      </c>
      <c r="EA22" s="240">
        <f t="shared" si="104"/>
        <v>1.0194942120418393</v>
      </c>
      <c r="EB22" s="84">
        <f t="shared" si="105"/>
        <v>0</v>
      </c>
      <c r="EC22" s="84">
        <f>IF(EB22="","",IF(OR(EB22=1,IF(ISNA(MATCH("מוגן",$I22:EB22,0)),FALSE,TRUE)),1,0))</f>
        <v>0</v>
      </c>
      <c r="ED22" s="241">
        <f t="shared" si="106"/>
        <v>8.4703942713680643E-3</v>
      </c>
      <c r="EE22" s="241" t="str">
        <f t="shared" si="107"/>
        <v>סיום</v>
      </c>
      <c r="EF22" s="242">
        <f t="shared" si="108"/>
        <v>8.4703942713680643E-3</v>
      </c>
      <c r="EG22" s="240">
        <f t="shared" si="109"/>
        <v>1.0194942120418393</v>
      </c>
      <c r="EH22" s="84">
        <f t="shared" si="110"/>
        <v>0</v>
      </c>
      <c r="EI22" s="84">
        <f>IF(EH22="","",IF(OR(EH22=1,IF(ISNA(MATCH("מוגן",$I22:EH22,0)),FALSE,TRUE)),1,0))</f>
        <v>0</v>
      </c>
      <c r="EJ22" s="241">
        <f t="shared" si="111"/>
        <v>8.4703942713680643E-3</v>
      </c>
      <c r="EK22" s="241" t="str">
        <f t="shared" si="112"/>
        <v>סיום</v>
      </c>
      <c r="EL22" s="242">
        <f t="shared" si="113"/>
        <v>8.4703942713680643E-3</v>
      </c>
      <c r="EM22" s="240">
        <f t="shared" si="114"/>
        <v>1.0194942120418393</v>
      </c>
      <c r="EN22" s="84">
        <f t="shared" si="115"/>
        <v>0</v>
      </c>
      <c r="EO22" s="84">
        <f>IF(EN22="","",IF(OR(EN22=1,IF(ISNA(MATCH("מוגן",$I22:EN22,0)),FALSE,TRUE)),1,0))</f>
        <v>0</v>
      </c>
      <c r="EP22" s="241">
        <f t="shared" si="116"/>
        <v>8.4703942713680643E-3</v>
      </c>
      <c r="EQ22" s="241" t="str">
        <f t="shared" si="117"/>
        <v>סיום</v>
      </c>
      <c r="ER22" s="242">
        <f t="shared" si="118"/>
        <v>8.4703942713680643E-3</v>
      </c>
      <c r="ES22" s="240">
        <f t="shared" si="119"/>
        <v>1.0194942120418393</v>
      </c>
      <c r="ET22" s="84">
        <f t="shared" si="120"/>
        <v>0</v>
      </c>
      <c r="EU22" s="84">
        <f>IF(ET22="","",IF(OR(ET22=1,IF(ISNA(MATCH("מוגן",$I22:ET22,0)),FALSE,TRUE)),1,0))</f>
        <v>0</v>
      </c>
      <c r="EV22" s="241">
        <f t="shared" si="121"/>
        <v>8.4703942713680643E-3</v>
      </c>
      <c r="EW22" s="241" t="str">
        <f t="shared" si="122"/>
        <v>סיום</v>
      </c>
      <c r="EX22" s="242">
        <f t="shared" si="123"/>
        <v>8.4703942713680643E-3</v>
      </c>
      <c r="EY22" s="240">
        <f t="shared" si="124"/>
        <v>1.0194942120418393</v>
      </c>
      <c r="EZ22" s="84">
        <f t="shared" si="125"/>
        <v>0</v>
      </c>
      <c r="FA22" s="84">
        <f>IF(EZ22="","",IF(OR(EZ22=1,IF(ISNA(MATCH("מוגן",$I22:EZ22,0)),FALSE,TRUE)),1,0))</f>
        <v>0</v>
      </c>
      <c r="FB22" s="241">
        <f t="shared" si="126"/>
        <v>8.4703942713680643E-3</v>
      </c>
      <c r="FC22" s="241" t="str">
        <f t="shared" si="127"/>
        <v>סיום</v>
      </c>
      <c r="FD22" s="242">
        <f t="shared" si="128"/>
        <v>8.4703942713680643E-3</v>
      </c>
      <c r="FE22" s="240">
        <f t="shared" si="129"/>
        <v>1.0194942120418393</v>
      </c>
      <c r="FF22" s="84">
        <f t="shared" si="130"/>
        <v>0</v>
      </c>
      <c r="FG22" s="84">
        <f>IF(FF22="","",IF(OR(FF22=1,IF(ISNA(MATCH("מוגן",$I22:FF22,0)),FALSE,TRUE)),1,0))</f>
        <v>0</v>
      </c>
      <c r="FH22" s="241">
        <f t="shared" si="131"/>
        <v>8.4703942713680643E-3</v>
      </c>
      <c r="FI22" s="241" t="str">
        <f t="shared" si="132"/>
        <v>סיום</v>
      </c>
      <c r="FJ22" s="242">
        <f t="shared" si="133"/>
        <v>8.4703942713680643E-3</v>
      </c>
      <c r="FK22" s="240">
        <f t="shared" si="134"/>
        <v>1.0194942120418393</v>
      </c>
      <c r="FL22" s="84">
        <f t="shared" si="135"/>
        <v>0</v>
      </c>
      <c r="FM22" s="84">
        <f>IF(FL22="","",IF(OR(FL22=1,IF(ISNA(MATCH("מוגן",$I22:FL22,0)),FALSE,TRUE)),1,0))</f>
        <v>0</v>
      </c>
      <c r="FN22" s="241">
        <f t="shared" si="136"/>
        <v>8.4703942713680643E-3</v>
      </c>
      <c r="FO22" s="241" t="str">
        <f t="shared" si="137"/>
        <v>סיום</v>
      </c>
      <c r="FP22" s="242">
        <f t="shared" si="138"/>
        <v>8.4703942713680643E-3</v>
      </c>
      <c r="FQ22" s="240">
        <f t="shared" si="139"/>
        <v>1.0194942120418393</v>
      </c>
      <c r="FR22" s="84">
        <f t="shared" si="140"/>
        <v>0</v>
      </c>
      <c r="FS22" s="84">
        <f>IF(FR22="","",IF(OR(FR22=1,IF(ISNA(MATCH("מוגן",$I22:FR22,0)),FALSE,TRUE)),1,0))</f>
        <v>0</v>
      </c>
      <c r="FT22" s="241">
        <f t="shared" si="141"/>
        <v>8.4703942713680643E-3</v>
      </c>
      <c r="FU22" s="241" t="str">
        <f t="shared" si="142"/>
        <v>סיום</v>
      </c>
      <c r="FV22" s="242">
        <f t="shared" si="143"/>
        <v>8.4703942713680643E-3</v>
      </c>
      <c r="FW22" s="240">
        <f t="shared" si="144"/>
        <v>1.0194942120418393</v>
      </c>
      <c r="FX22" s="84">
        <f t="shared" si="145"/>
        <v>0</v>
      </c>
      <c r="FY22" s="84">
        <f>IF(FX22="","",IF(OR(FX22=1,IF(ISNA(MATCH("מוגן",$I22:FX22,0)),FALSE,TRUE)),1,0))</f>
        <v>0</v>
      </c>
      <c r="FZ22" s="241">
        <f t="shared" si="146"/>
        <v>8.4703942713680643E-3</v>
      </c>
      <c r="GA22" s="241" t="str">
        <f t="shared" si="147"/>
        <v>סיום</v>
      </c>
      <c r="GB22" s="242">
        <f t="shared" si="148"/>
        <v>8.4703942713680643E-3</v>
      </c>
      <c r="GC22" s="240">
        <f t="shared" si="149"/>
        <v>1.0194942120418393</v>
      </c>
      <c r="GD22" s="84">
        <f t="shared" si="150"/>
        <v>0</v>
      </c>
      <c r="GE22" s="84">
        <f>IF(GD22="","",IF(OR(GD22=1,IF(ISNA(MATCH("מוגן",$I22:GD22,0)),FALSE,TRUE)),1,0))</f>
        <v>0</v>
      </c>
      <c r="GF22" s="241">
        <f t="shared" si="151"/>
        <v>8.4703942713680643E-3</v>
      </c>
      <c r="GG22" s="241" t="str">
        <f t="shared" si="152"/>
        <v>סיום</v>
      </c>
      <c r="GH22" s="242">
        <f t="shared" si="153"/>
        <v>8.4703942713680643E-3</v>
      </c>
      <c r="GI22" s="240">
        <f t="shared" si="154"/>
        <v>1.0194942120418393</v>
      </c>
      <c r="GJ22" s="84">
        <f t="shared" si="155"/>
        <v>0</v>
      </c>
      <c r="GK22" s="84">
        <f>IF(GJ22="","",IF(OR(GJ22=1,IF(ISNA(MATCH("מוגן",$I22:GJ22,0)),FALSE,TRUE)),1,0))</f>
        <v>0</v>
      </c>
      <c r="GL22" s="241">
        <f t="shared" si="156"/>
        <v>8.4703942713680643E-3</v>
      </c>
      <c r="GM22" s="241" t="str">
        <f t="shared" si="157"/>
        <v>סיום</v>
      </c>
      <c r="GN22" s="242">
        <f t="shared" si="158"/>
        <v>8.4703942713680643E-3</v>
      </c>
      <c r="GO22" s="240">
        <f t="shared" si="159"/>
        <v>1.0194942120418393</v>
      </c>
      <c r="GP22" s="84">
        <f t="shared" si="160"/>
        <v>0</v>
      </c>
      <c r="GQ22" s="84">
        <f>IF(GP22="","",IF(OR(GP22=1,IF(ISNA(MATCH("מוגן",$I22:GP22,0)),FALSE,TRUE)),1,0))</f>
        <v>0</v>
      </c>
      <c r="GR22" s="241">
        <f t="shared" si="161"/>
        <v>8.4703942713680643E-3</v>
      </c>
      <c r="GS22" s="241" t="str">
        <f t="shared" si="162"/>
        <v>סיום</v>
      </c>
      <c r="GT22" s="242">
        <f t="shared" si="163"/>
        <v>8.4703942713680643E-3</v>
      </c>
      <c r="GU22" s="240">
        <f t="shared" si="164"/>
        <v>1.0194942120418393</v>
      </c>
      <c r="GV22" s="84">
        <f t="shared" si="165"/>
        <v>0</v>
      </c>
      <c r="GW22" s="84">
        <f>IF(GV22="","",IF(OR(GV22=1,IF(ISNA(MATCH("מוגן",$I22:GV22,0)),FALSE,TRUE)),1,0))</f>
        <v>0</v>
      </c>
      <c r="GX22" s="241">
        <f t="shared" si="166"/>
        <v>8.4703942713680643E-3</v>
      </c>
      <c r="GY22" s="241" t="str">
        <f t="shared" si="167"/>
        <v>סיום</v>
      </c>
      <c r="GZ22" s="242">
        <f t="shared" si="168"/>
        <v>8.4703942713680643E-3</v>
      </c>
      <c r="HA22" s="119">
        <f t="shared" si="169"/>
        <v>837061.42974104895</v>
      </c>
      <c r="HB22" s="246" t="str">
        <f t="shared" si="170"/>
        <v>OK</v>
      </c>
      <c r="HC22" s="244">
        <f t="shared" si="171"/>
        <v>1.0194942120418393</v>
      </c>
      <c r="HD22" s="245">
        <f t="shared" si="172"/>
        <v>8.4703942713680643E-3</v>
      </c>
      <c r="HE22" s="111">
        <f t="shared" si="173"/>
        <v>0</v>
      </c>
      <c r="HF22" s="111">
        <f t="shared" si="174"/>
        <v>1</v>
      </c>
      <c r="HG22" s="111" t="b">
        <f>OR(B22="",ISNA(MATCH(C22,{0,1},0)))</f>
        <v>0</v>
      </c>
    </row>
    <row r="23" spans="1:215">
      <c r="A23" s="120">
        <f>ייצוב!A19</f>
        <v>15</v>
      </c>
      <c r="B23" s="121" t="str">
        <f>ייצוב!B19</f>
        <v>יפו</v>
      </c>
      <c r="C23" s="67"/>
      <c r="D23" s="240">
        <f>ייצוב!E19</f>
        <v>9.135698169971479E-3</v>
      </c>
      <c r="E23" s="240">
        <f>ייצוב!G19</f>
        <v>8.9515371597192715E-3</v>
      </c>
      <c r="F23" s="240">
        <f t="shared" si="0"/>
        <v>0.97984160522536368</v>
      </c>
      <c r="G23" s="84">
        <f t="shared" si="1"/>
        <v>0</v>
      </c>
      <c r="H23" s="241">
        <f t="shared" si="2"/>
        <v>8.9515371597192715E-3</v>
      </c>
      <c r="I23" s="241">
        <f t="array" ref="I23">IF(H23="","",IF(G23=1,"מוגן",H23/SUMIF(G$9:G$41,"=0",H$9:H$41)))</f>
        <v>8.9515371597192715E-3</v>
      </c>
      <c r="J23" s="242">
        <f t="shared" si="3"/>
        <v>8.9515371597192715E-3</v>
      </c>
      <c r="K23" s="240">
        <f t="shared" si="4"/>
        <v>0.97984160522536368</v>
      </c>
      <c r="L23" s="84">
        <f t="shared" si="5"/>
        <v>0</v>
      </c>
      <c r="M23" s="84">
        <f>IF(L23="","",IF(OR(L23=1,IF(ISNA(MATCH("מוגן",$I23:L23,0)),FALSE,TRUE)),1,0))</f>
        <v>0</v>
      </c>
      <c r="N23" s="241">
        <f t="shared" si="6"/>
        <v>8.9515371597192715E-3</v>
      </c>
      <c r="O23" s="241" t="str">
        <f t="shared" si="7"/>
        <v>סיום</v>
      </c>
      <c r="P23" s="242">
        <f t="shared" si="8"/>
        <v>8.9515371597192715E-3</v>
      </c>
      <c r="Q23" s="240">
        <f t="shared" si="9"/>
        <v>0.97984160522536368</v>
      </c>
      <c r="R23" s="84">
        <f t="shared" si="10"/>
        <v>0</v>
      </c>
      <c r="S23" s="84">
        <f>IF(R23="","",IF(OR(R23=1,IF(ISNA(MATCH("מוגן",$I23:R23,0)),FALSE,TRUE)),1,0))</f>
        <v>0</v>
      </c>
      <c r="T23" s="241">
        <f t="shared" si="11"/>
        <v>8.9515371597192715E-3</v>
      </c>
      <c r="U23" s="241" t="str">
        <f t="shared" si="12"/>
        <v>סיום</v>
      </c>
      <c r="V23" s="242">
        <f t="shared" si="13"/>
        <v>8.9515371597192715E-3</v>
      </c>
      <c r="W23" s="240">
        <f t="shared" si="14"/>
        <v>0.97984160522536368</v>
      </c>
      <c r="X23" s="84">
        <f t="shared" si="15"/>
        <v>0</v>
      </c>
      <c r="Y23" s="84">
        <f>IF(X23="","",IF(OR(X23=1,IF(ISNA(MATCH("מוגן",$I23:X23,0)),FALSE,TRUE)),1,0))</f>
        <v>0</v>
      </c>
      <c r="Z23" s="241">
        <f t="shared" si="16"/>
        <v>8.9515371597192715E-3</v>
      </c>
      <c r="AA23" s="241" t="str">
        <f t="shared" si="17"/>
        <v>סיום</v>
      </c>
      <c r="AB23" s="242">
        <f t="shared" si="18"/>
        <v>8.9515371597192715E-3</v>
      </c>
      <c r="AC23" s="240">
        <f t="shared" si="19"/>
        <v>0.97984160522536368</v>
      </c>
      <c r="AD23" s="84">
        <f t="shared" si="20"/>
        <v>0</v>
      </c>
      <c r="AE23" s="84">
        <f>IF(AD23="","",IF(OR(AD23=1,IF(ISNA(MATCH("מוגן",$I23:AD23,0)),FALSE,TRUE)),1,0))</f>
        <v>0</v>
      </c>
      <c r="AF23" s="241">
        <f t="shared" si="21"/>
        <v>8.9515371597192715E-3</v>
      </c>
      <c r="AG23" s="241" t="str">
        <f t="shared" si="22"/>
        <v>סיום</v>
      </c>
      <c r="AH23" s="242">
        <f t="shared" si="23"/>
        <v>8.9515371597192715E-3</v>
      </c>
      <c r="AI23" s="240">
        <f t="shared" si="24"/>
        <v>0.97984160522536368</v>
      </c>
      <c r="AJ23" s="84">
        <f t="shared" si="25"/>
        <v>0</v>
      </c>
      <c r="AK23" s="84">
        <f>IF(AJ23="","",IF(OR(AJ23=1,IF(ISNA(MATCH("מוגן",$I23:AJ23,0)),FALSE,TRUE)),1,0))</f>
        <v>0</v>
      </c>
      <c r="AL23" s="241">
        <f t="shared" si="26"/>
        <v>8.9515371597192715E-3</v>
      </c>
      <c r="AM23" s="241" t="str">
        <f t="shared" si="27"/>
        <v>סיום</v>
      </c>
      <c r="AN23" s="242">
        <f t="shared" si="28"/>
        <v>8.9515371597192715E-3</v>
      </c>
      <c r="AO23" s="240">
        <f t="shared" si="29"/>
        <v>0.97984160522536368</v>
      </c>
      <c r="AP23" s="84">
        <f t="shared" si="30"/>
        <v>0</v>
      </c>
      <c r="AQ23" s="84">
        <f>IF(AP23="","",IF(OR(AP23=1,IF(ISNA(MATCH("מוגן",$I23:AP23,0)),FALSE,TRUE)),1,0))</f>
        <v>0</v>
      </c>
      <c r="AR23" s="241">
        <f t="shared" si="31"/>
        <v>8.9515371597192715E-3</v>
      </c>
      <c r="AS23" s="241" t="str">
        <f t="shared" si="32"/>
        <v>סיום</v>
      </c>
      <c r="AT23" s="242">
        <f t="shared" si="33"/>
        <v>8.9515371597192715E-3</v>
      </c>
      <c r="AU23" s="240">
        <f t="shared" si="34"/>
        <v>0.97984160522536368</v>
      </c>
      <c r="AV23" s="84">
        <f t="shared" si="35"/>
        <v>0</v>
      </c>
      <c r="AW23" s="84">
        <f>IF(AV23="","",IF(OR(AV23=1,IF(ISNA(MATCH("מוגן",$I23:AV23,0)),FALSE,TRUE)),1,0))</f>
        <v>0</v>
      </c>
      <c r="AX23" s="241">
        <f t="shared" si="36"/>
        <v>8.9515371597192715E-3</v>
      </c>
      <c r="AY23" s="241" t="str">
        <f t="shared" si="37"/>
        <v>סיום</v>
      </c>
      <c r="AZ23" s="242">
        <f t="shared" si="38"/>
        <v>8.9515371597192715E-3</v>
      </c>
      <c r="BA23" s="240">
        <f t="shared" si="39"/>
        <v>0.97984160522536368</v>
      </c>
      <c r="BB23" s="84">
        <f t="shared" si="40"/>
        <v>0</v>
      </c>
      <c r="BC23" s="84">
        <f>IF(BB23="","",IF(OR(BB23=1,IF(ISNA(MATCH("מוגן",$I23:BB23,0)),FALSE,TRUE)),1,0))</f>
        <v>0</v>
      </c>
      <c r="BD23" s="241">
        <f t="shared" si="41"/>
        <v>8.9515371597192715E-3</v>
      </c>
      <c r="BE23" s="241" t="str">
        <f t="shared" si="42"/>
        <v>סיום</v>
      </c>
      <c r="BF23" s="242">
        <f t="shared" si="43"/>
        <v>8.9515371597192715E-3</v>
      </c>
      <c r="BG23" s="240">
        <f t="shared" si="44"/>
        <v>0.97984160522536368</v>
      </c>
      <c r="BH23" s="84">
        <f t="shared" si="45"/>
        <v>0</v>
      </c>
      <c r="BI23" s="84">
        <f>IF(BH23="","",IF(OR(BH23=1,IF(ISNA(MATCH("מוגן",$I23:BH23,0)),FALSE,TRUE)),1,0))</f>
        <v>0</v>
      </c>
      <c r="BJ23" s="241">
        <f t="shared" si="46"/>
        <v>8.9515371597192715E-3</v>
      </c>
      <c r="BK23" s="241" t="str">
        <f t="shared" si="47"/>
        <v>סיום</v>
      </c>
      <c r="BL23" s="242">
        <f t="shared" si="48"/>
        <v>8.9515371597192715E-3</v>
      </c>
      <c r="BM23" s="240">
        <f t="shared" si="49"/>
        <v>0.97984160522536368</v>
      </c>
      <c r="BN23" s="84">
        <f t="shared" si="50"/>
        <v>0</v>
      </c>
      <c r="BO23" s="84">
        <f>IF(BN23="","",IF(OR(BN23=1,IF(ISNA(MATCH("מוגן",$I23:BN23,0)),FALSE,TRUE)),1,0))</f>
        <v>0</v>
      </c>
      <c r="BP23" s="241">
        <f t="shared" si="51"/>
        <v>8.9515371597192715E-3</v>
      </c>
      <c r="BQ23" s="241" t="str">
        <f t="shared" si="52"/>
        <v>סיום</v>
      </c>
      <c r="BR23" s="242">
        <f t="shared" si="53"/>
        <v>8.9515371597192715E-3</v>
      </c>
      <c r="BS23" s="240">
        <f t="shared" si="54"/>
        <v>0.97984160522536368</v>
      </c>
      <c r="BT23" s="84">
        <f t="shared" si="55"/>
        <v>0</v>
      </c>
      <c r="BU23" s="84">
        <f>IF(BT23="","",IF(OR(BT23=1,IF(ISNA(MATCH("מוגן",$I23:BT23,0)),FALSE,TRUE)),1,0))</f>
        <v>0</v>
      </c>
      <c r="BV23" s="241">
        <f t="shared" si="56"/>
        <v>8.9515371597192715E-3</v>
      </c>
      <c r="BW23" s="241" t="str">
        <f t="shared" si="57"/>
        <v>סיום</v>
      </c>
      <c r="BX23" s="242">
        <f t="shared" si="58"/>
        <v>8.9515371597192715E-3</v>
      </c>
      <c r="BY23" s="240">
        <f t="shared" si="59"/>
        <v>0.97984160522536368</v>
      </c>
      <c r="BZ23" s="84">
        <f t="shared" si="60"/>
        <v>0</v>
      </c>
      <c r="CA23" s="84">
        <f>IF(BZ23="","",IF(OR(BZ23=1,IF(ISNA(MATCH("מוגן",$I23:BZ23,0)),FALSE,TRUE)),1,0))</f>
        <v>0</v>
      </c>
      <c r="CB23" s="241">
        <f t="shared" si="61"/>
        <v>8.9515371597192715E-3</v>
      </c>
      <c r="CC23" s="241" t="str">
        <f t="shared" si="62"/>
        <v>סיום</v>
      </c>
      <c r="CD23" s="242">
        <f t="shared" si="63"/>
        <v>8.9515371597192715E-3</v>
      </c>
      <c r="CE23" s="240">
        <f t="shared" si="64"/>
        <v>0.97984160522536368</v>
      </c>
      <c r="CF23" s="84">
        <f t="shared" si="65"/>
        <v>0</v>
      </c>
      <c r="CG23" s="84">
        <f>IF(CF23="","",IF(OR(CF23=1,IF(ISNA(MATCH("מוגן",$I23:CF23,0)),FALSE,TRUE)),1,0))</f>
        <v>0</v>
      </c>
      <c r="CH23" s="241">
        <f t="shared" si="66"/>
        <v>8.9515371597192715E-3</v>
      </c>
      <c r="CI23" s="241" t="str">
        <f t="shared" si="67"/>
        <v>סיום</v>
      </c>
      <c r="CJ23" s="242">
        <f t="shared" si="68"/>
        <v>8.9515371597192715E-3</v>
      </c>
      <c r="CK23" s="240">
        <f t="shared" si="69"/>
        <v>0.97984160522536368</v>
      </c>
      <c r="CL23" s="84">
        <f t="shared" si="70"/>
        <v>0</v>
      </c>
      <c r="CM23" s="84">
        <f>IF(CL23="","",IF(OR(CL23=1,IF(ISNA(MATCH("מוגן",$I23:CL23,0)),FALSE,TRUE)),1,0))</f>
        <v>0</v>
      </c>
      <c r="CN23" s="241">
        <f t="shared" si="71"/>
        <v>8.9515371597192715E-3</v>
      </c>
      <c r="CO23" s="241" t="str">
        <f t="shared" si="72"/>
        <v>סיום</v>
      </c>
      <c r="CP23" s="242">
        <f t="shared" si="73"/>
        <v>8.9515371597192715E-3</v>
      </c>
      <c r="CQ23" s="240">
        <f t="shared" si="74"/>
        <v>0.97984160522536368</v>
      </c>
      <c r="CR23" s="84">
        <f t="shared" si="75"/>
        <v>0</v>
      </c>
      <c r="CS23" s="84">
        <f>IF(CR23="","",IF(OR(CR23=1,IF(ISNA(MATCH("מוגן",$I23:CR23,0)),FALSE,TRUE)),1,0))</f>
        <v>0</v>
      </c>
      <c r="CT23" s="241">
        <f t="shared" si="76"/>
        <v>8.9515371597192715E-3</v>
      </c>
      <c r="CU23" s="241" t="str">
        <f t="shared" si="77"/>
        <v>סיום</v>
      </c>
      <c r="CV23" s="242">
        <f t="shared" si="78"/>
        <v>8.9515371597192715E-3</v>
      </c>
      <c r="CW23" s="240">
        <f t="shared" si="79"/>
        <v>0.97984160522536368</v>
      </c>
      <c r="CX23" s="84">
        <f t="shared" si="80"/>
        <v>0</v>
      </c>
      <c r="CY23" s="84">
        <f>IF(CX23="","",IF(OR(CX23=1,IF(ISNA(MATCH("מוגן",$I23:CX23,0)),FALSE,TRUE)),1,0))</f>
        <v>0</v>
      </c>
      <c r="CZ23" s="241">
        <f t="shared" si="81"/>
        <v>8.9515371597192715E-3</v>
      </c>
      <c r="DA23" s="241" t="str">
        <f t="shared" si="82"/>
        <v>סיום</v>
      </c>
      <c r="DB23" s="242">
        <f t="shared" si="83"/>
        <v>8.9515371597192715E-3</v>
      </c>
      <c r="DC23" s="240">
        <f t="shared" si="84"/>
        <v>0.97984160522536368</v>
      </c>
      <c r="DD23" s="84">
        <f t="shared" si="85"/>
        <v>0</v>
      </c>
      <c r="DE23" s="84">
        <f>IF(DD23="","",IF(OR(DD23=1,IF(ISNA(MATCH("מוגן",$I23:DD23,0)),FALSE,TRUE)),1,0))</f>
        <v>0</v>
      </c>
      <c r="DF23" s="241">
        <f t="shared" si="86"/>
        <v>8.9515371597192715E-3</v>
      </c>
      <c r="DG23" s="241" t="str">
        <f t="shared" si="87"/>
        <v>סיום</v>
      </c>
      <c r="DH23" s="242">
        <f t="shared" si="88"/>
        <v>8.9515371597192715E-3</v>
      </c>
      <c r="DI23" s="240">
        <f t="shared" si="89"/>
        <v>0.97984160522536368</v>
      </c>
      <c r="DJ23" s="84">
        <f t="shared" si="90"/>
        <v>0</v>
      </c>
      <c r="DK23" s="84">
        <f>IF(DJ23="","",IF(OR(DJ23=1,IF(ISNA(MATCH("מוגן",$I23:DJ23,0)),FALSE,TRUE)),1,0))</f>
        <v>0</v>
      </c>
      <c r="DL23" s="241">
        <f t="shared" si="91"/>
        <v>8.9515371597192715E-3</v>
      </c>
      <c r="DM23" s="241" t="str">
        <f t="shared" si="92"/>
        <v>סיום</v>
      </c>
      <c r="DN23" s="242">
        <f t="shared" si="93"/>
        <v>8.9515371597192715E-3</v>
      </c>
      <c r="DO23" s="240">
        <f t="shared" si="94"/>
        <v>0.97984160522536368</v>
      </c>
      <c r="DP23" s="84">
        <f t="shared" si="95"/>
        <v>0</v>
      </c>
      <c r="DQ23" s="84">
        <f>IF(DP23="","",IF(OR(DP23=1,IF(ISNA(MATCH("מוגן",$I23:DP23,0)),FALSE,TRUE)),1,0))</f>
        <v>0</v>
      </c>
      <c r="DR23" s="241">
        <f t="shared" si="96"/>
        <v>8.9515371597192715E-3</v>
      </c>
      <c r="DS23" s="241" t="str">
        <f t="shared" si="97"/>
        <v>סיום</v>
      </c>
      <c r="DT23" s="242">
        <f t="shared" si="98"/>
        <v>8.9515371597192715E-3</v>
      </c>
      <c r="DU23" s="240">
        <f t="shared" si="99"/>
        <v>0.97984160522536368</v>
      </c>
      <c r="DV23" s="84">
        <f t="shared" si="100"/>
        <v>0</v>
      </c>
      <c r="DW23" s="84">
        <f>IF(DV23="","",IF(OR(DV23=1,IF(ISNA(MATCH("מוגן",$I23:DV23,0)),FALSE,TRUE)),1,0))</f>
        <v>0</v>
      </c>
      <c r="DX23" s="241">
        <f t="shared" si="101"/>
        <v>8.9515371597192715E-3</v>
      </c>
      <c r="DY23" s="241" t="str">
        <f t="shared" si="102"/>
        <v>סיום</v>
      </c>
      <c r="DZ23" s="242">
        <f t="shared" si="103"/>
        <v>8.9515371597192715E-3</v>
      </c>
      <c r="EA23" s="240">
        <f t="shared" si="104"/>
        <v>0.97984160522536368</v>
      </c>
      <c r="EB23" s="84">
        <f t="shared" si="105"/>
        <v>0</v>
      </c>
      <c r="EC23" s="84">
        <f>IF(EB23="","",IF(OR(EB23=1,IF(ISNA(MATCH("מוגן",$I23:EB23,0)),FALSE,TRUE)),1,0))</f>
        <v>0</v>
      </c>
      <c r="ED23" s="241">
        <f t="shared" si="106"/>
        <v>8.9515371597192715E-3</v>
      </c>
      <c r="EE23" s="241" t="str">
        <f t="shared" si="107"/>
        <v>סיום</v>
      </c>
      <c r="EF23" s="242">
        <f t="shared" si="108"/>
        <v>8.9515371597192715E-3</v>
      </c>
      <c r="EG23" s="240">
        <f t="shared" si="109"/>
        <v>0.97984160522536368</v>
      </c>
      <c r="EH23" s="84">
        <f t="shared" si="110"/>
        <v>0</v>
      </c>
      <c r="EI23" s="84">
        <f>IF(EH23="","",IF(OR(EH23=1,IF(ISNA(MATCH("מוגן",$I23:EH23,0)),FALSE,TRUE)),1,0))</f>
        <v>0</v>
      </c>
      <c r="EJ23" s="241">
        <f t="shared" si="111"/>
        <v>8.9515371597192715E-3</v>
      </c>
      <c r="EK23" s="241" t="str">
        <f t="shared" si="112"/>
        <v>סיום</v>
      </c>
      <c r="EL23" s="242">
        <f t="shared" si="113"/>
        <v>8.9515371597192715E-3</v>
      </c>
      <c r="EM23" s="240">
        <f t="shared" si="114"/>
        <v>0.97984160522536368</v>
      </c>
      <c r="EN23" s="84">
        <f t="shared" si="115"/>
        <v>0</v>
      </c>
      <c r="EO23" s="84">
        <f>IF(EN23="","",IF(OR(EN23=1,IF(ISNA(MATCH("מוגן",$I23:EN23,0)),FALSE,TRUE)),1,0))</f>
        <v>0</v>
      </c>
      <c r="EP23" s="241">
        <f t="shared" si="116"/>
        <v>8.9515371597192715E-3</v>
      </c>
      <c r="EQ23" s="241" t="str">
        <f t="shared" si="117"/>
        <v>סיום</v>
      </c>
      <c r="ER23" s="242">
        <f t="shared" si="118"/>
        <v>8.9515371597192715E-3</v>
      </c>
      <c r="ES23" s="240">
        <f t="shared" si="119"/>
        <v>0.97984160522536368</v>
      </c>
      <c r="ET23" s="84">
        <f t="shared" si="120"/>
        <v>0</v>
      </c>
      <c r="EU23" s="84">
        <f>IF(ET23="","",IF(OR(ET23=1,IF(ISNA(MATCH("מוגן",$I23:ET23,0)),FALSE,TRUE)),1,0))</f>
        <v>0</v>
      </c>
      <c r="EV23" s="241">
        <f t="shared" si="121"/>
        <v>8.9515371597192715E-3</v>
      </c>
      <c r="EW23" s="241" t="str">
        <f t="shared" si="122"/>
        <v>סיום</v>
      </c>
      <c r="EX23" s="242">
        <f t="shared" si="123"/>
        <v>8.9515371597192715E-3</v>
      </c>
      <c r="EY23" s="240">
        <f t="shared" si="124"/>
        <v>0.97984160522536368</v>
      </c>
      <c r="EZ23" s="84">
        <f t="shared" si="125"/>
        <v>0</v>
      </c>
      <c r="FA23" s="84">
        <f>IF(EZ23="","",IF(OR(EZ23=1,IF(ISNA(MATCH("מוגן",$I23:EZ23,0)),FALSE,TRUE)),1,0))</f>
        <v>0</v>
      </c>
      <c r="FB23" s="241">
        <f t="shared" si="126"/>
        <v>8.9515371597192715E-3</v>
      </c>
      <c r="FC23" s="241" t="str">
        <f t="shared" si="127"/>
        <v>סיום</v>
      </c>
      <c r="FD23" s="242">
        <f t="shared" si="128"/>
        <v>8.9515371597192715E-3</v>
      </c>
      <c r="FE23" s="240">
        <f t="shared" si="129"/>
        <v>0.97984160522536368</v>
      </c>
      <c r="FF23" s="84">
        <f t="shared" si="130"/>
        <v>0</v>
      </c>
      <c r="FG23" s="84">
        <f>IF(FF23="","",IF(OR(FF23=1,IF(ISNA(MATCH("מוגן",$I23:FF23,0)),FALSE,TRUE)),1,0))</f>
        <v>0</v>
      </c>
      <c r="FH23" s="241">
        <f t="shared" si="131"/>
        <v>8.9515371597192715E-3</v>
      </c>
      <c r="FI23" s="241" t="str">
        <f t="shared" si="132"/>
        <v>סיום</v>
      </c>
      <c r="FJ23" s="242">
        <f t="shared" si="133"/>
        <v>8.9515371597192715E-3</v>
      </c>
      <c r="FK23" s="240">
        <f t="shared" si="134"/>
        <v>0.97984160522536368</v>
      </c>
      <c r="FL23" s="84">
        <f t="shared" si="135"/>
        <v>0</v>
      </c>
      <c r="FM23" s="84">
        <f>IF(FL23="","",IF(OR(FL23=1,IF(ISNA(MATCH("מוגן",$I23:FL23,0)),FALSE,TRUE)),1,0))</f>
        <v>0</v>
      </c>
      <c r="FN23" s="241">
        <f t="shared" si="136"/>
        <v>8.9515371597192715E-3</v>
      </c>
      <c r="FO23" s="241" t="str">
        <f t="shared" si="137"/>
        <v>סיום</v>
      </c>
      <c r="FP23" s="242">
        <f t="shared" si="138"/>
        <v>8.9515371597192715E-3</v>
      </c>
      <c r="FQ23" s="240">
        <f t="shared" si="139"/>
        <v>0.97984160522536368</v>
      </c>
      <c r="FR23" s="84">
        <f t="shared" si="140"/>
        <v>0</v>
      </c>
      <c r="FS23" s="84">
        <f>IF(FR23="","",IF(OR(FR23=1,IF(ISNA(MATCH("מוגן",$I23:FR23,0)),FALSE,TRUE)),1,0))</f>
        <v>0</v>
      </c>
      <c r="FT23" s="241">
        <f t="shared" si="141"/>
        <v>8.9515371597192715E-3</v>
      </c>
      <c r="FU23" s="241" t="str">
        <f t="shared" si="142"/>
        <v>סיום</v>
      </c>
      <c r="FV23" s="242">
        <f t="shared" si="143"/>
        <v>8.9515371597192715E-3</v>
      </c>
      <c r="FW23" s="240">
        <f t="shared" si="144"/>
        <v>0.97984160522536368</v>
      </c>
      <c r="FX23" s="84">
        <f t="shared" si="145"/>
        <v>0</v>
      </c>
      <c r="FY23" s="84">
        <f>IF(FX23="","",IF(OR(FX23=1,IF(ISNA(MATCH("מוגן",$I23:FX23,0)),FALSE,TRUE)),1,0))</f>
        <v>0</v>
      </c>
      <c r="FZ23" s="241">
        <f t="shared" si="146"/>
        <v>8.9515371597192715E-3</v>
      </c>
      <c r="GA23" s="241" t="str">
        <f t="shared" si="147"/>
        <v>סיום</v>
      </c>
      <c r="GB23" s="242">
        <f t="shared" si="148"/>
        <v>8.9515371597192715E-3</v>
      </c>
      <c r="GC23" s="240">
        <f t="shared" si="149"/>
        <v>0.97984160522536368</v>
      </c>
      <c r="GD23" s="84">
        <f t="shared" si="150"/>
        <v>0</v>
      </c>
      <c r="GE23" s="84">
        <f>IF(GD23="","",IF(OR(GD23=1,IF(ISNA(MATCH("מוגן",$I23:GD23,0)),FALSE,TRUE)),1,0))</f>
        <v>0</v>
      </c>
      <c r="GF23" s="241">
        <f t="shared" si="151"/>
        <v>8.9515371597192715E-3</v>
      </c>
      <c r="GG23" s="241" t="str">
        <f t="shared" si="152"/>
        <v>סיום</v>
      </c>
      <c r="GH23" s="242">
        <f t="shared" si="153"/>
        <v>8.9515371597192715E-3</v>
      </c>
      <c r="GI23" s="240">
        <f t="shared" si="154"/>
        <v>0.97984160522536368</v>
      </c>
      <c r="GJ23" s="84">
        <f t="shared" si="155"/>
        <v>0</v>
      </c>
      <c r="GK23" s="84">
        <f>IF(GJ23="","",IF(OR(GJ23=1,IF(ISNA(MATCH("מוגן",$I23:GJ23,0)),FALSE,TRUE)),1,0))</f>
        <v>0</v>
      </c>
      <c r="GL23" s="241">
        <f t="shared" si="156"/>
        <v>8.9515371597192715E-3</v>
      </c>
      <c r="GM23" s="241" t="str">
        <f t="shared" si="157"/>
        <v>סיום</v>
      </c>
      <c r="GN23" s="242">
        <f t="shared" si="158"/>
        <v>8.9515371597192715E-3</v>
      </c>
      <c r="GO23" s="240">
        <f t="shared" si="159"/>
        <v>0.97984160522536368</v>
      </c>
      <c r="GP23" s="84">
        <f t="shared" si="160"/>
        <v>0</v>
      </c>
      <c r="GQ23" s="84">
        <f>IF(GP23="","",IF(OR(GP23=1,IF(ISNA(MATCH("מוגן",$I23:GP23,0)),FALSE,TRUE)),1,0))</f>
        <v>0</v>
      </c>
      <c r="GR23" s="241">
        <f t="shared" si="161"/>
        <v>8.9515371597192715E-3</v>
      </c>
      <c r="GS23" s="241" t="str">
        <f t="shared" si="162"/>
        <v>סיום</v>
      </c>
      <c r="GT23" s="242">
        <f t="shared" si="163"/>
        <v>8.9515371597192715E-3</v>
      </c>
      <c r="GU23" s="240">
        <f t="shared" si="164"/>
        <v>0.97984160522536368</v>
      </c>
      <c r="GV23" s="84">
        <f t="shared" si="165"/>
        <v>0</v>
      </c>
      <c r="GW23" s="84">
        <f>IF(GV23="","",IF(OR(GV23=1,IF(ISNA(MATCH("מוגן",$I23:GV23,0)),FALSE,TRUE)),1,0))</f>
        <v>0</v>
      </c>
      <c r="GX23" s="241">
        <f t="shared" si="166"/>
        <v>8.9515371597192715E-3</v>
      </c>
      <c r="GY23" s="241" t="str">
        <f t="shared" si="167"/>
        <v>סיום</v>
      </c>
      <c r="GZ23" s="242">
        <f t="shared" si="168"/>
        <v>8.9515371597192715E-3</v>
      </c>
      <c r="HA23" s="119">
        <f t="shared" si="169"/>
        <v>884608.93947083526</v>
      </c>
      <c r="HB23" s="246" t="str">
        <f t="shared" si="170"/>
        <v>OK</v>
      </c>
      <c r="HC23" s="244">
        <f t="shared" si="171"/>
        <v>0.97984160522536368</v>
      </c>
      <c r="HD23" s="245">
        <f t="shared" si="172"/>
        <v>8.9515371597192715E-3</v>
      </c>
      <c r="HE23" s="111">
        <f t="shared" si="173"/>
        <v>0</v>
      </c>
      <c r="HF23" s="111">
        <f t="shared" si="174"/>
        <v>1</v>
      </c>
      <c r="HG23" s="111" t="b">
        <f>OR(B23="",ISNA(MATCH(C23,{0,1},0)))</f>
        <v>0</v>
      </c>
    </row>
    <row r="24" spans="1:215">
      <c r="A24" s="120">
        <f>ייצוב!A20</f>
        <v>16</v>
      </c>
      <c r="B24" s="121" t="str">
        <f>ייצוב!B20</f>
        <v/>
      </c>
      <c r="C24" s="67"/>
      <c r="D24" s="240" t="str">
        <f>ייצוב!E20</f>
        <v/>
      </c>
      <c r="E24" s="240" t="str">
        <f>ייצוב!G20</f>
        <v/>
      </c>
      <c r="F24" s="240" t="str">
        <f t="shared" si="0"/>
        <v/>
      </c>
      <c r="G24" s="84" t="str">
        <f t="shared" si="1"/>
        <v/>
      </c>
      <c r="H24" s="241" t="str">
        <f t="shared" si="2"/>
        <v/>
      </c>
      <c r="I24" s="241" t="str">
        <f t="array" ref="I24">IF(H24="","",IF(G24=1,"מוגן",H24/SUMIF(G$9:G$41,"=0",H$9:H$41)))</f>
        <v/>
      </c>
      <c r="J24" s="242" t="str">
        <f t="shared" si="3"/>
        <v/>
      </c>
      <c r="K24" s="240" t="str">
        <f t="shared" si="4"/>
        <v/>
      </c>
      <c r="L24" s="84" t="str">
        <f t="shared" si="5"/>
        <v/>
      </c>
      <c r="M24" s="84" t="str">
        <f>IF(L24="","",IF(OR(L24=1,IF(ISNA(MATCH("מוגן",$I24:L24,0)),FALSE,TRUE)),1,0))</f>
        <v/>
      </c>
      <c r="N24" s="241" t="str">
        <f t="shared" si="6"/>
        <v/>
      </c>
      <c r="O24" s="241" t="str">
        <f t="shared" si="7"/>
        <v/>
      </c>
      <c r="P24" s="242" t="str">
        <f t="shared" si="8"/>
        <v/>
      </c>
      <c r="Q24" s="240" t="str">
        <f t="shared" si="9"/>
        <v/>
      </c>
      <c r="R24" s="84" t="str">
        <f t="shared" si="10"/>
        <v/>
      </c>
      <c r="S24" s="84" t="str">
        <f>IF(R24="","",IF(OR(R24=1,IF(ISNA(MATCH("מוגן",$I24:R24,0)),FALSE,TRUE)),1,0))</f>
        <v/>
      </c>
      <c r="T24" s="241" t="str">
        <f t="shared" si="11"/>
        <v/>
      </c>
      <c r="U24" s="241" t="str">
        <f t="shared" si="12"/>
        <v/>
      </c>
      <c r="V24" s="242" t="str">
        <f t="shared" si="13"/>
        <v/>
      </c>
      <c r="W24" s="240" t="str">
        <f t="shared" si="14"/>
        <v/>
      </c>
      <c r="X24" s="84" t="str">
        <f t="shared" si="15"/>
        <v/>
      </c>
      <c r="Y24" s="84" t="str">
        <f>IF(X24="","",IF(OR(X24=1,IF(ISNA(MATCH("מוגן",$I24:X24,0)),FALSE,TRUE)),1,0))</f>
        <v/>
      </c>
      <c r="Z24" s="241" t="str">
        <f t="shared" si="16"/>
        <v/>
      </c>
      <c r="AA24" s="241" t="str">
        <f t="shared" si="17"/>
        <v/>
      </c>
      <c r="AB24" s="242" t="str">
        <f t="shared" si="18"/>
        <v/>
      </c>
      <c r="AC24" s="240" t="str">
        <f t="shared" si="19"/>
        <v/>
      </c>
      <c r="AD24" s="84" t="str">
        <f t="shared" si="20"/>
        <v/>
      </c>
      <c r="AE24" s="84" t="str">
        <f>IF(AD24="","",IF(OR(AD24=1,IF(ISNA(MATCH("מוגן",$I24:AD24,0)),FALSE,TRUE)),1,0))</f>
        <v/>
      </c>
      <c r="AF24" s="241" t="str">
        <f t="shared" si="21"/>
        <v/>
      </c>
      <c r="AG24" s="241" t="str">
        <f t="shared" si="22"/>
        <v/>
      </c>
      <c r="AH24" s="242" t="str">
        <f t="shared" si="23"/>
        <v/>
      </c>
      <c r="AI24" s="240" t="str">
        <f t="shared" si="24"/>
        <v/>
      </c>
      <c r="AJ24" s="84" t="str">
        <f t="shared" si="25"/>
        <v/>
      </c>
      <c r="AK24" s="84" t="str">
        <f>IF(AJ24="","",IF(OR(AJ24=1,IF(ISNA(MATCH("מוגן",$I24:AJ24,0)),FALSE,TRUE)),1,0))</f>
        <v/>
      </c>
      <c r="AL24" s="241" t="str">
        <f t="shared" si="26"/>
        <v/>
      </c>
      <c r="AM24" s="241" t="str">
        <f t="shared" si="27"/>
        <v/>
      </c>
      <c r="AN24" s="242" t="str">
        <f t="shared" si="28"/>
        <v/>
      </c>
      <c r="AO24" s="240" t="str">
        <f t="shared" si="29"/>
        <v/>
      </c>
      <c r="AP24" s="84" t="str">
        <f t="shared" si="30"/>
        <v/>
      </c>
      <c r="AQ24" s="84" t="str">
        <f>IF(AP24="","",IF(OR(AP24=1,IF(ISNA(MATCH("מוגן",$I24:AP24,0)),FALSE,TRUE)),1,0))</f>
        <v/>
      </c>
      <c r="AR24" s="241" t="str">
        <f t="shared" si="31"/>
        <v/>
      </c>
      <c r="AS24" s="241" t="str">
        <f t="shared" si="32"/>
        <v/>
      </c>
      <c r="AT24" s="242" t="str">
        <f t="shared" si="33"/>
        <v/>
      </c>
      <c r="AU24" s="240" t="str">
        <f t="shared" si="34"/>
        <v/>
      </c>
      <c r="AV24" s="84" t="str">
        <f t="shared" si="35"/>
        <v/>
      </c>
      <c r="AW24" s="84" t="str">
        <f>IF(AV24="","",IF(OR(AV24=1,IF(ISNA(MATCH("מוגן",$I24:AV24,0)),FALSE,TRUE)),1,0))</f>
        <v/>
      </c>
      <c r="AX24" s="241" t="str">
        <f t="shared" si="36"/>
        <v/>
      </c>
      <c r="AY24" s="241" t="str">
        <f t="shared" si="37"/>
        <v/>
      </c>
      <c r="AZ24" s="242" t="str">
        <f t="shared" si="38"/>
        <v/>
      </c>
      <c r="BA24" s="240" t="str">
        <f t="shared" si="39"/>
        <v/>
      </c>
      <c r="BB24" s="84" t="str">
        <f t="shared" si="40"/>
        <v/>
      </c>
      <c r="BC24" s="84" t="str">
        <f>IF(BB24="","",IF(OR(BB24=1,IF(ISNA(MATCH("מוגן",$I24:BB24,0)),FALSE,TRUE)),1,0))</f>
        <v/>
      </c>
      <c r="BD24" s="241" t="str">
        <f t="shared" si="41"/>
        <v/>
      </c>
      <c r="BE24" s="241" t="str">
        <f t="shared" si="42"/>
        <v/>
      </c>
      <c r="BF24" s="242" t="str">
        <f t="shared" si="43"/>
        <v/>
      </c>
      <c r="BG24" s="240" t="str">
        <f t="shared" si="44"/>
        <v/>
      </c>
      <c r="BH24" s="84" t="str">
        <f t="shared" si="45"/>
        <v/>
      </c>
      <c r="BI24" s="84" t="str">
        <f>IF(BH24="","",IF(OR(BH24=1,IF(ISNA(MATCH("מוגן",$I24:BH24,0)),FALSE,TRUE)),1,0))</f>
        <v/>
      </c>
      <c r="BJ24" s="241" t="str">
        <f t="shared" si="46"/>
        <v/>
      </c>
      <c r="BK24" s="241" t="str">
        <f t="shared" si="47"/>
        <v/>
      </c>
      <c r="BL24" s="242" t="str">
        <f t="shared" si="48"/>
        <v/>
      </c>
      <c r="BM24" s="240" t="str">
        <f t="shared" si="49"/>
        <v/>
      </c>
      <c r="BN24" s="84" t="str">
        <f t="shared" si="50"/>
        <v/>
      </c>
      <c r="BO24" s="84" t="str">
        <f>IF(BN24="","",IF(OR(BN24=1,IF(ISNA(MATCH("מוגן",$I24:BN24,0)),FALSE,TRUE)),1,0))</f>
        <v/>
      </c>
      <c r="BP24" s="241" t="str">
        <f t="shared" si="51"/>
        <v/>
      </c>
      <c r="BQ24" s="241" t="str">
        <f t="shared" si="52"/>
        <v/>
      </c>
      <c r="BR24" s="242" t="str">
        <f t="shared" si="53"/>
        <v/>
      </c>
      <c r="BS24" s="240" t="str">
        <f t="shared" si="54"/>
        <v/>
      </c>
      <c r="BT24" s="84" t="str">
        <f t="shared" si="55"/>
        <v/>
      </c>
      <c r="BU24" s="84" t="str">
        <f>IF(BT24="","",IF(OR(BT24=1,IF(ISNA(MATCH("מוגן",$I24:BT24,0)),FALSE,TRUE)),1,0))</f>
        <v/>
      </c>
      <c r="BV24" s="241" t="str">
        <f t="shared" si="56"/>
        <v/>
      </c>
      <c r="BW24" s="241" t="str">
        <f t="shared" si="57"/>
        <v/>
      </c>
      <c r="BX24" s="242" t="str">
        <f t="shared" si="58"/>
        <v/>
      </c>
      <c r="BY24" s="240" t="str">
        <f t="shared" si="59"/>
        <v/>
      </c>
      <c r="BZ24" s="84" t="str">
        <f t="shared" si="60"/>
        <v/>
      </c>
      <c r="CA24" s="84" t="str">
        <f>IF(BZ24="","",IF(OR(BZ24=1,IF(ISNA(MATCH("מוגן",$I24:BZ24,0)),FALSE,TRUE)),1,0))</f>
        <v/>
      </c>
      <c r="CB24" s="241" t="str">
        <f t="shared" si="61"/>
        <v/>
      </c>
      <c r="CC24" s="241" t="str">
        <f t="shared" si="62"/>
        <v/>
      </c>
      <c r="CD24" s="242" t="str">
        <f t="shared" si="63"/>
        <v/>
      </c>
      <c r="CE24" s="240" t="str">
        <f t="shared" si="64"/>
        <v/>
      </c>
      <c r="CF24" s="84" t="str">
        <f t="shared" si="65"/>
        <v/>
      </c>
      <c r="CG24" s="84" t="str">
        <f>IF(CF24="","",IF(OR(CF24=1,IF(ISNA(MATCH("מוגן",$I24:CF24,0)),FALSE,TRUE)),1,0))</f>
        <v/>
      </c>
      <c r="CH24" s="241" t="str">
        <f t="shared" si="66"/>
        <v/>
      </c>
      <c r="CI24" s="241" t="str">
        <f t="shared" si="67"/>
        <v/>
      </c>
      <c r="CJ24" s="242" t="str">
        <f t="shared" si="68"/>
        <v/>
      </c>
      <c r="CK24" s="240" t="str">
        <f t="shared" si="69"/>
        <v/>
      </c>
      <c r="CL24" s="84" t="str">
        <f t="shared" si="70"/>
        <v/>
      </c>
      <c r="CM24" s="84" t="str">
        <f>IF(CL24="","",IF(OR(CL24=1,IF(ISNA(MATCH("מוגן",$I24:CL24,0)),FALSE,TRUE)),1,0))</f>
        <v/>
      </c>
      <c r="CN24" s="241" t="str">
        <f t="shared" si="71"/>
        <v/>
      </c>
      <c r="CO24" s="241" t="str">
        <f t="shared" si="72"/>
        <v/>
      </c>
      <c r="CP24" s="242" t="str">
        <f t="shared" si="73"/>
        <v/>
      </c>
      <c r="CQ24" s="240" t="str">
        <f t="shared" si="74"/>
        <v/>
      </c>
      <c r="CR24" s="84" t="str">
        <f t="shared" si="75"/>
        <v/>
      </c>
      <c r="CS24" s="84" t="str">
        <f>IF(CR24="","",IF(OR(CR24=1,IF(ISNA(MATCH("מוגן",$I24:CR24,0)),FALSE,TRUE)),1,0))</f>
        <v/>
      </c>
      <c r="CT24" s="241" t="str">
        <f t="shared" si="76"/>
        <v/>
      </c>
      <c r="CU24" s="241" t="str">
        <f t="shared" si="77"/>
        <v/>
      </c>
      <c r="CV24" s="242" t="str">
        <f t="shared" si="78"/>
        <v/>
      </c>
      <c r="CW24" s="240" t="str">
        <f t="shared" si="79"/>
        <v/>
      </c>
      <c r="CX24" s="84" t="str">
        <f t="shared" si="80"/>
        <v/>
      </c>
      <c r="CY24" s="84" t="str">
        <f>IF(CX24="","",IF(OR(CX24=1,IF(ISNA(MATCH("מוגן",$I24:CX24,0)),FALSE,TRUE)),1,0))</f>
        <v/>
      </c>
      <c r="CZ24" s="241" t="str">
        <f t="shared" si="81"/>
        <v/>
      </c>
      <c r="DA24" s="241" t="str">
        <f t="shared" si="82"/>
        <v/>
      </c>
      <c r="DB24" s="242" t="str">
        <f t="shared" si="83"/>
        <v/>
      </c>
      <c r="DC24" s="240" t="str">
        <f t="shared" si="84"/>
        <v/>
      </c>
      <c r="DD24" s="84" t="str">
        <f t="shared" si="85"/>
        <v/>
      </c>
      <c r="DE24" s="84" t="str">
        <f>IF(DD24="","",IF(OR(DD24=1,IF(ISNA(MATCH("מוגן",$I24:DD24,0)),FALSE,TRUE)),1,0))</f>
        <v/>
      </c>
      <c r="DF24" s="241" t="str">
        <f t="shared" si="86"/>
        <v/>
      </c>
      <c r="DG24" s="241" t="str">
        <f t="shared" si="87"/>
        <v/>
      </c>
      <c r="DH24" s="242" t="str">
        <f t="shared" si="88"/>
        <v/>
      </c>
      <c r="DI24" s="240" t="str">
        <f t="shared" si="89"/>
        <v/>
      </c>
      <c r="DJ24" s="84" t="str">
        <f t="shared" si="90"/>
        <v/>
      </c>
      <c r="DK24" s="84" t="str">
        <f>IF(DJ24="","",IF(OR(DJ24=1,IF(ISNA(MATCH("מוגן",$I24:DJ24,0)),FALSE,TRUE)),1,0))</f>
        <v/>
      </c>
      <c r="DL24" s="241" t="str">
        <f t="shared" si="91"/>
        <v/>
      </c>
      <c r="DM24" s="241" t="str">
        <f t="shared" si="92"/>
        <v/>
      </c>
      <c r="DN24" s="242" t="str">
        <f t="shared" si="93"/>
        <v/>
      </c>
      <c r="DO24" s="240" t="str">
        <f t="shared" si="94"/>
        <v/>
      </c>
      <c r="DP24" s="84" t="str">
        <f t="shared" si="95"/>
        <v/>
      </c>
      <c r="DQ24" s="84" t="str">
        <f>IF(DP24="","",IF(OR(DP24=1,IF(ISNA(MATCH("מוגן",$I24:DP24,0)),FALSE,TRUE)),1,0))</f>
        <v/>
      </c>
      <c r="DR24" s="241" t="str">
        <f t="shared" si="96"/>
        <v/>
      </c>
      <c r="DS24" s="241" t="str">
        <f t="shared" si="97"/>
        <v/>
      </c>
      <c r="DT24" s="242" t="str">
        <f t="shared" si="98"/>
        <v/>
      </c>
      <c r="DU24" s="240" t="str">
        <f t="shared" si="99"/>
        <v/>
      </c>
      <c r="DV24" s="84" t="str">
        <f t="shared" si="100"/>
        <v/>
      </c>
      <c r="DW24" s="84" t="str">
        <f>IF(DV24="","",IF(OR(DV24=1,IF(ISNA(MATCH("מוגן",$I24:DV24,0)),FALSE,TRUE)),1,0))</f>
        <v/>
      </c>
      <c r="DX24" s="241" t="str">
        <f t="shared" si="101"/>
        <v/>
      </c>
      <c r="DY24" s="241" t="str">
        <f t="shared" si="102"/>
        <v/>
      </c>
      <c r="DZ24" s="242" t="str">
        <f t="shared" si="103"/>
        <v/>
      </c>
      <c r="EA24" s="240" t="str">
        <f t="shared" si="104"/>
        <v/>
      </c>
      <c r="EB24" s="84" t="str">
        <f t="shared" si="105"/>
        <v/>
      </c>
      <c r="EC24" s="84" t="str">
        <f>IF(EB24="","",IF(OR(EB24=1,IF(ISNA(MATCH("מוגן",$I24:EB24,0)),FALSE,TRUE)),1,0))</f>
        <v/>
      </c>
      <c r="ED24" s="241" t="str">
        <f t="shared" si="106"/>
        <v/>
      </c>
      <c r="EE24" s="241" t="str">
        <f t="shared" si="107"/>
        <v/>
      </c>
      <c r="EF24" s="242" t="str">
        <f t="shared" si="108"/>
        <v/>
      </c>
      <c r="EG24" s="240" t="str">
        <f t="shared" si="109"/>
        <v/>
      </c>
      <c r="EH24" s="84" t="str">
        <f t="shared" si="110"/>
        <v/>
      </c>
      <c r="EI24" s="84" t="str">
        <f>IF(EH24="","",IF(OR(EH24=1,IF(ISNA(MATCH("מוגן",$I24:EH24,0)),FALSE,TRUE)),1,0))</f>
        <v/>
      </c>
      <c r="EJ24" s="241" t="str">
        <f t="shared" si="111"/>
        <v/>
      </c>
      <c r="EK24" s="241" t="str">
        <f t="shared" si="112"/>
        <v/>
      </c>
      <c r="EL24" s="242" t="str">
        <f t="shared" si="113"/>
        <v/>
      </c>
      <c r="EM24" s="240" t="str">
        <f t="shared" si="114"/>
        <v/>
      </c>
      <c r="EN24" s="84" t="str">
        <f t="shared" si="115"/>
        <v/>
      </c>
      <c r="EO24" s="84" t="str">
        <f>IF(EN24="","",IF(OR(EN24=1,IF(ISNA(MATCH("מוגן",$I24:EN24,0)),FALSE,TRUE)),1,0))</f>
        <v/>
      </c>
      <c r="EP24" s="241" t="str">
        <f t="shared" si="116"/>
        <v/>
      </c>
      <c r="EQ24" s="241" t="str">
        <f t="shared" si="117"/>
        <v/>
      </c>
      <c r="ER24" s="242" t="str">
        <f t="shared" si="118"/>
        <v/>
      </c>
      <c r="ES24" s="240" t="str">
        <f t="shared" si="119"/>
        <v/>
      </c>
      <c r="ET24" s="84" t="str">
        <f t="shared" si="120"/>
        <v/>
      </c>
      <c r="EU24" s="84" t="str">
        <f>IF(ET24="","",IF(OR(ET24=1,IF(ISNA(MATCH("מוגן",$I24:ET24,0)),FALSE,TRUE)),1,0))</f>
        <v/>
      </c>
      <c r="EV24" s="241" t="str">
        <f t="shared" si="121"/>
        <v/>
      </c>
      <c r="EW24" s="241" t="str">
        <f t="shared" si="122"/>
        <v/>
      </c>
      <c r="EX24" s="242" t="str">
        <f t="shared" si="123"/>
        <v/>
      </c>
      <c r="EY24" s="240" t="str">
        <f t="shared" si="124"/>
        <v/>
      </c>
      <c r="EZ24" s="84" t="str">
        <f t="shared" si="125"/>
        <v/>
      </c>
      <c r="FA24" s="84" t="str">
        <f>IF(EZ24="","",IF(OR(EZ24=1,IF(ISNA(MATCH("מוגן",$I24:EZ24,0)),FALSE,TRUE)),1,0))</f>
        <v/>
      </c>
      <c r="FB24" s="241" t="str">
        <f t="shared" si="126"/>
        <v/>
      </c>
      <c r="FC24" s="241" t="str">
        <f t="shared" si="127"/>
        <v/>
      </c>
      <c r="FD24" s="242" t="str">
        <f t="shared" si="128"/>
        <v/>
      </c>
      <c r="FE24" s="240" t="str">
        <f t="shared" si="129"/>
        <v/>
      </c>
      <c r="FF24" s="84" t="str">
        <f t="shared" si="130"/>
        <v/>
      </c>
      <c r="FG24" s="84" t="str">
        <f>IF(FF24="","",IF(OR(FF24=1,IF(ISNA(MATCH("מוגן",$I24:FF24,0)),FALSE,TRUE)),1,0))</f>
        <v/>
      </c>
      <c r="FH24" s="241" t="str">
        <f t="shared" si="131"/>
        <v/>
      </c>
      <c r="FI24" s="241" t="str">
        <f t="shared" si="132"/>
        <v/>
      </c>
      <c r="FJ24" s="242" t="str">
        <f t="shared" si="133"/>
        <v/>
      </c>
      <c r="FK24" s="240" t="str">
        <f t="shared" si="134"/>
        <v/>
      </c>
      <c r="FL24" s="84" t="str">
        <f t="shared" si="135"/>
        <v/>
      </c>
      <c r="FM24" s="84" t="str">
        <f>IF(FL24="","",IF(OR(FL24=1,IF(ISNA(MATCH("מוגן",$I24:FL24,0)),FALSE,TRUE)),1,0))</f>
        <v/>
      </c>
      <c r="FN24" s="241" t="str">
        <f t="shared" si="136"/>
        <v/>
      </c>
      <c r="FO24" s="241" t="str">
        <f t="shared" si="137"/>
        <v/>
      </c>
      <c r="FP24" s="242" t="str">
        <f t="shared" si="138"/>
        <v/>
      </c>
      <c r="FQ24" s="240" t="str">
        <f t="shared" si="139"/>
        <v/>
      </c>
      <c r="FR24" s="84" t="str">
        <f t="shared" si="140"/>
        <v/>
      </c>
      <c r="FS24" s="84" t="str">
        <f>IF(FR24="","",IF(OR(FR24=1,IF(ISNA(MATCH("מוגן",$I24:FR24,0)),FALSE,TRUE)),1,0))</f>
        <v/>
      </c>
      <c r="FT24" s="241" t="str">
        <f t="shared" si="141"/>
        <v/>
      </c>
      <c r="FU24" s="241" t="str">
        <f t="shared" si="142"/>
        <v/>
      </c>
      <c r="FV24" s="242" t="str">
        <f t="shared" si="143"/>
        <v/>
      </c>
      <c r="FW24" s="240" t="str">
        <f t="shared" si="144"/>
        <v/>
      </c>
      <c r="FX24" s="84" t="str">
        <f t="shared" si="145"/>
        <v/>
      </c>
      <c r="FY24" s="84" t="str">
        <f>IF(FX24="","",IF(OR(FX24=1,IF(ISNA(MATCH("מוגן",$I24:FX24,0)),FALSE,TRUE)),1,0))</f>
        <v/>
      </c>
      <c r="FZ24" s="241" t="str">
        <f t="shared" si="146"/>
        <v/>
      </c>
      <c r="GA24" s="241" t="str">
        <f t="shared" si="147"/>
        <v/>
      </c>
      <c r="GB24" s="242" t="str">
        <f t="shared" si="148"/>
        <v/>
      </c>
      <c r="GC24" s="240" t="str">
        <f t="shared" si="149"/>
        <v/>
      </c>
      <c r="GD24" s="84" t="str">
        <f t="shared" si="150"/>
        <v/>
      </c>
      <c r="GE24" s="84" t="str">
        <f>IF(GD24="","",IF(OR(GD24=1,IF(ISNA(MATCH("מוגן",$I24:GD24,0)),FALSE,TRUE)),1,0))</f>
        <v/>
      </c>
      <c r="GF24" s="241" t="str">
        <f t="shared" si="151"/>
        <v/>
      </c>
      <c r="GG24" s="241" t="str">
        <f t="shared" si="152"/>
        <v/>
      </c>
      <c r="GH24" s="242" t="str">
        <f t="shared" si="153"/>
        <v/>
      </c>
      <c r="GI24" s="240" t="str">
        <f t="shared" si="154"/>
        <v/>
      </c>
      <c r="GJ24" s="84" t="str">
        <f t="shared" si="155"/>
        <v/>
      </c>
      <c r="GK24" s="84" t="str">
        <f>IF(GJ24="","",IF(OR(GJ24=1,IF(ISNA(MATCH("מוגן",$I24:GJ24,0)),FALSE,TRUE)),1,0))</f>
        <v/>
      </c>
      <c r="GL24" s="241" t="str">
        <f t="shared" si="156"/>
        <v/>
      </c>
      <c r="GM24" s="241" t="str">
        <f t="shared" si="157"/>
        <v/>
      </c>
      <c r="GN24" s="242" t="str">
        <f t="shared" si="158"/>
        <v/>
      </c>
      <c r="GO24" s="240" t="str">
        <f t="shared" si="159"/>
        <v/>
      </c>
      <c r="GP24" s="84" t="str">
        <f t="shared" si="160"/>
        <v/>
      </c>
      <c r="GQ24" s="84" t="str">
        <f>IF(GP24="","",IF(OR(GP24=1,IF(ISNA(MATCH("מוגן",$I24:GP24,0)),FALSE,TRUE)),1,0))</f>
        <v/>
      </c>
      <c r="GR24" s="241" t="str">
        <f t="shared" si="161"/>
        <v/>
      </c>
      <c r="GS24" s="241" t="str">
        <f t="shared" si="162"/>
        <v/>
      </c>
      <c r="GT24" s="242" t="str">
        <f t="shared" si="163"/>
        <v/>
      </c>
      <c r="GU24" s="240" t="str">
        <f t="shared" si="164"/>
        <v/>
      </c>
      <c r="GV24" s="84" t="str">
        <f t="shared" si="165"/>
        <v/>
      </c>
      <c r="GW24" s="84" t="str">
        <f>IF(GV24="","",IF(OR(GV24=1,IF(ISNA(MATCH("מוגן",$I24:GV24,0)),FALSE,TRUE)),1,0))</f>
        <v/>
      </c>
      <c r="GX24" s="241" t="str">
        <f t="shared" si="166"/>
        <v/>
      </c>
      <c r="GY24" s="241" t="str">
        <f t="shared" si="167"/>
        <v/>
      </c>
      <c r="GZ24" s="242" t="str">
        <f t="shared" si="168"/>
        <v/>
      </c>
      <c r="HA24" s="119" t="str">
        <f t="shared" si="169"/>
        <v/>
      </c>
      <c r="HB24" s="246" t="str">
        <f t="shared" si="170"/>
        <v>OK</v>
      </c>
      <c r="HC24" s="244" t="str">
        <f t="shared" si="171"/>
        <v/>
      </c>
      <c r="HD24" s="245" t="str">
        <f t="shared" si="172"/>
        <v/>
      </c>
      <c r="HE24" s="111" t="str">
        <f t="shared" si="173"/>
        <v/>
      </c>
      <c r="HF24" s="111" t="str">
        <f t="shared" si="174"/>
        <v/>
      </c>
      <c r="HG24" s="111" t="b">
        <f>OR(B24="",ISNA(MATCH(C24,{0,1},0)))</f>
        <v>1</v>
      </c>
    </row>
    <row r="25" spans="1:215">
      <c r="A25" s="120">
        <f>ייצוב!A21</f>
        <v>17</v>
      </c>
      <c r="B25" s="121" t="str">
        <f>ייצוב!B21</f>
        <v>אינקובטור</v>
      </c>
      <c r="C25" s="67"/>
      <c r="D25" s="240">
        <f>ייצוב!E21</f>
        <v>1.7340525177881507E-2</v>
      </c>
      <c r="E25" s="240">
        <f>ייצוב!G21</f>
        <v>1.7374406487513074E-2</v>
      </c>
      <c r="F25" s="240">
        <f t="shared" si="0"/>
        <v>1.0019538802478014</v>
      </c>
      <c r="G25" s="84">
        <f t="shared" si="1"/>
        <v>0</v>
      </c>
      <c r="H25" s="241">
        <f t="shared" si="2"/>
        <v>1.7374406487513074E-2</v>
      </c>
      <c r="I25" s="241">
        <f t="array" ref="I25">IF(H25="","",IF(G25=1,"מוגן",H25/SUMIF(G$9:G$41,"=0",H$9:H$41)))</f>
        <v>1.7374406487513074E-2</v>
      </c>
      <c r="J25" s="242">
        <f t="shared" si="3"/>
        <v>1.7374406487513074E-2</v>
      </c>
      <c r="K25" s="240">
        <f t="shared" si="4"/>
        <v>1.0019538802478014</v>
      </c>
      <c r="L25" s="84">
        <f t="shared" si="5"/>
        <v>0</v>
      </c>
      <c r="M25" s="84">
        <f>IF(L25="","",IF(OR(L25=1,IF(ISNA(MATCH("מוגן",$I25:L25,0)),FALSE,TRUE)),1,0))</f>
        <v>0</v>
      </c>
      <c r="N25" s="241">
        <f>IF(M25="","",IF(M25=1,$C$4*$D25,J25))</f>
        <v>1.7374406487513074E-2</v>
      </c>
      <c r="O25" s="241" t="str">
        <f t="shared" si="7"/>
        <v>סיום</v>
      </c>
      <c r="P25" s="242">
        <f t="shared" si="8"/>
        <v>1.7374406487513074E-2</v>
      </c>
      <c r="Q25" s="240">
        <f t="shared" si="9"/>
        <v>1.0019538802478014</v>
      </c>
      <c r="R25" s="84">
        <f t="shared" si="10"/>
        <v>0</v>
      </c>
      <c r="S25" s="84">
        <f>IF(R25="","",IF(OR(R25=1,IF(ISNA(MATCH("מוגן",$I25:R25,0)),FALSE,TRUE)),1,0))</f>
        <v>0</v>
      </c>
      <c r="T25" s="241">
        <f>IF(S25="","",IF(S25=1,$C$4*$D25,P25))</f>
        <v>1.7374406487513074E-2</v>
      </c>
      <c r="U25" s="241" t="str">
        <f t="shared" si="12"/>
        <v>סיום</v>
      </c>
      <c r="V25" s="242">
        <f t="shared" si="13"/>
        <v>1.7374406487513074E-2</v>
      </c>
      <c r="W25" s="240">
        <f t="shared" si="14"/>
        <v>1.0019538802478014</v>
      </c>
      <c r="X25" s="84">
        <f t="shared" si="15"/>
        <v>0</v>
      </c>
      <c r="Y25" s="84">
        <f>IF(X25="","",IF(OR(X25=1,IF(ISNA(MATCH("מוגן",$I25:X25,0)),FALSE,TRUE)),1,0))</f>
        <v>0</v>
      </c>
      <c r="Z25" s="241">
        <f>IF(Y25="","",IF(Y25=1,$C$4*$D25,V25))</f>
        <v>1.7374406487513074E-2</v>
      </c>
      <c r="AA25" s="241" t="str">
        <f t="shared" si="17"/>
        <v>סיום</v>
      </c>
      <c r="AB25" s="242">
        <f t="shared" si="18"/>
        <v>1.7374406487513074E-2</v>
      </c>
      <c r="AC25" s="240">
        <f t="shared" si="19"/>
        <v>1.0019538802478014</v>
      </c>
      <c r="AD25" s="84">
        <f t="shared" si="20"/>
        <v>0</v>
      </c>
      <c r="AE25" s="84">
        <f>IF(AD25="","",IF(OR(AD25=1,IF(ISNA(MATCH("מוגן",$I25:AD25,0)),FALSE,TRUE)),1,0))</f>
        <v>0</v>
      </c>
      <c r="AF25" s="241">
        <f>IF(AE25="","",IF(AE25=1,$C$4*$D25,AB25))</f>
        <v>1.7374406487513074E-2</v>
      </c>
      <c r="AG25" s="241" t="str">
        <f t="shared" si="22"/>
        <v>סיום</v>
      </c>
      <c r="AH25" s="242">
        <f t="shared" si="23"/>
        <v>1.7374406487513074E-2</v>
      </c>
      <c r="AI25" s="240">
        <f t="shared" si="24"/>
        <v>1.0019538802478014</v>
      </c>
      <c r="AJ25" s="84">
        <f t="shared" si="25"/>
        <v>0</v>
      </c>
      <c r="AK25" s="84">
        <f>IF(AJ25="","",IF(OR(AJ25=1,IF(ISNA(MATCH("מוגן",$I25:AJ25,0)),FALSE,TRUE)),1,0))</f>
        <v>0</v>
      </c>
      <c r="AL25" s="241">
        <f>IF(AK25="","",IF(AK25=1,$C$4*$D25,AH25))</f>
        <v>1.7374406487513074E-2</v>
      </c>
      <c r="AM25" s="241" t="str">
        <f t="shared" si="27"/>
        <v>סיום</v>
      </c>
      <c r="AN25" s="242">
        <f t="shared" si="28"/>
        <v>1.7374406487513074E-2</v>
      </c>
      <c r="AO25" s="240">
        <f t="shared" si="29"/>
        <v>1.0019538802478014</v>
      </c>
      <c r="AP25" s="84">
        <f t="shared" si="30"/>
        <v>0</v>
      </c>
      <c r="AQ25" s="84">
        <f>IF(AP25="","",IF(OR(AP25=1,IF(ISNA(MATCH("מוגן",$I25:AP25,0)),FALSE,TRUE)),1,0))</f>
        <v>0</v>
      </c>
      <c r="AR25" s="241">
        <f>IF(AQ25="","",IF(AQ25=1,$C$4*$D25,AN25))</f>
        <v>1.7374406487513074E-2</v>
      </c>
      <c r="AS25" s="241" t="str">
        <f t="shared" si="32"/>
        <v>סיום</v>
      </c>
      <c r="AT25" s="242">
        <f t="shared" si="33"/>
        <v>1.7374406487513074E-2</v>
      </c>
      <c r="AU25" s="240">
        <f t="shared" si="34"/>
        <v>1.0019538802478014</v>
      </c>
      <c r="AV25" s="84">
        <f t="shared" si="35"/>
        <v>0</v>
      </c>
      <c r="AW25" s="84">
        <f>IF(AV25="","",IF(OR(AV25=1,IF(ISNA(MATCH("מוגן",$I25:AV25,0)),FALSE,TRUE)),1,0))</f>
        <v>0</v>
      </c>
      <c r="AX25" s="241">
        <f>IF(AW25="","",IF(AW25=1,$C$4*$D25,AT25))</f>
        <v>1.7374406487513074E-2</v>
      </c>
      <c r="AY25" s="241" t="str">
        <f t="shared" si="37"/>
        <v>סיום</v>
      </c>
      <c r="AZ25" s="242">
        <f t="shared" si="38"/>
        <v>1.7374406487513074E-2</v>
      </c>
      <c r="BA25" s="240">
        <f t="shared" si="39"/>
        <v>1.0019538802478014</v>
      </c>
      <c r="BB25" s="84">
        <f t="shared" si="40"/>
        <v>0</v>
      </c>
      <c r="BC25" s="84">
        <f>IF(BB25="","",IF(OR(BB25=1,IF(ISNA(MATCH("מוגן",$I25:BB25,0)),FALSE,TRUE)),1,0))</f>
        <v>0</v>
      </c>
      <c r="BD25" s="241">
        <f>IF(BC25="","",IF(BC25=1,$C$4*$D25,AZ25))</f>
        <v>1.7374406487513074E-2</v>
      </c>
      <c r="BE25" s="241" t="str">
        <f t="shared" si="42"/>
        <v>סיום</v>
      </c>
      <c r="BF25" s="242">
        <f t="shared" si="43"/>
        <v>1.7374406487513074E-2</v>
      </c>
      <c r="BG25" s="240">
        <f t="shared" si="44"/>
        <v>1.0019538802478014</v>
      </c>
      <c r="BH25" s="84">
        <f t="shared" si="45"/>
        <v>0</v>
      </c>
      <c r="BI25" s="84">
        <f>IF(BH25="","",IF(OR(BH25=1,IF(ISNA(MATCH("מוגן",$I25:BH25,0)),FALSE,TRUE)),1,0))</f>
        <v>0</v>
      </c>
      <c r="BJ25" s="241">
        <f>IF(BI25="","",IF(BI25=1,$C$4*$D25,BF25))</f>
        <v>1.7374406487513074E-2</v>
      </c>
      <c r="BK25" s="241" t="str">
        <f t="shared" si="47"/>
        <v>סיום</v>
      </c>
      <c r="BL25" s="242">
        <f t="shared" si="48"/>
        <v>1.7374406487513074E-2</v>
      </c>
      <c r="BM25" s="240">
        <f t="shared" si="49"/>
        <v>1.0019538802478014</v>
      </c>
      <c r="BN25" s="84">
        <f t="shared" si="50"/>
        <v>0</v>
      </c>
      <c r="BO25" s="84">
        <f>IF(BN25="","",IF(OR(BN25=1,IF(ISNA(MATCH("מוגן",$I25:BN25,0)),FALSE,TRUE)),1,0))</f>
        <v>0</v>
      </c>
      <c r="BP25" s="241">
        <f>IF(BO25="","",IF(BO25=1,$C$4*$D25,BL25))</f>
        <v>1.7374406487513074E-2</v>
      </c>
      <c r="BQ25" s="241" t="str">
        <f t="shared" si="52"/>
        <v>סיום</v>
      </c>
      <c r="BR25" s="242">
        <f t="shared" si="53"/>
        <v>1.7374406487513074E-2</v>
      </c>
      <c r="BS25" s="240">
        <f t="shared" si="54"/>
        <v>1.0019538802478014</v>
      </c>
      <c r="BT25" s="84">
        <f t="shared" si="55"/>
        <v>0</v>
      </c>
      <c r="BU25" s="84">
        <f>IF(BT25="","",IF(OR(BT25=1,IF(ISNA(MATCH("מוגן",$I25:BT25,0)),FALSE,TRUE)),1,0))</f>
        <v>0</v>
      </c>
      <c r="BV25" s="241">
        <f>IF(BU25="","",IF(BU25=1,$C$4*$D25,BR25))</f>
        <v>1.7374406487513074E-2</v>
      </c>
      <c r="BW25" s="241" t="str">
        <f t="shared" si="57"/>
        <v>סיום</v>
      </c>
      <c r="BX25" s="242">
        <f t="shared" si="58"/>
        <v>1.7374406487513074E-2</v>
      </c>
      <c r="BY25" s="240">
        <f t="shared" si="59"/>
        <v>1.0019538802478014</v>
      </c>
      <c r="BZ25" s="84">
        <f t="shared" si="60"/>
        <v>0</v>
      </c>
      <c r="CA25" s="84">
        <f>IF(BZ25="","",IF(OR(BZ25=1,IF(ISNA(MATCH("מוגן",$I25:BZ25,0)),FALSE,TRUE)),1,0))</f>
        <v>0</v>
      </c>
      <c r="CB25" s="241">
        <f>IF(CA25="","",IF(CA25=1,$C$4*$D25,BX25))</f>
        <v>1.7374406487513074E-2</v>
      </c>
      <c r="CC25" s="241" t="str">
        <f t="shared" si="62"/>
        <v>סיום</v>
      </c>
      <c r="CD25" s="242">
        <f t="shared" si="63"/>
        <v>1.7374406487513074E-2</v>
      </c>
      <c r="CE25" s="240">
        <f t="shared" si="64"/>
        <v>1.0019538802478014</v>
      </c>
      <c r="CF25" s="84">
        <f t="shared" si="65"/>
        <v>0</v>
      </c>
      <c r="CG25" s="84">
        <f>IF(CF25="","",IF(OR(CF25=1,IF(ISNA(MATCH("מוגן",$I25:CF25,0)),FALSE,TRUE)),1,0))</f>
        <v>0</v>
      </c>
      <c r="CH25" s="241">
        <f>IF(CG25="","",IF(CG25=1,$C$4*$D25,CD25))</f>
        <v>1.7374406487513074E-2</v>
      </c>
      <c r="CI25" s="241" t="str">
        <f t="shared" si="67"/>
        <v>סיום</v>
      </c>
      <c r="CJ25" s="242">
        <f t="shared" si="68"/>
        <v>1.7374406487513074E-2</v>
      </c>
      <c r="CK25" s="240">
        <f t="shared" si="69"/>
        <v>1.0019538802478014</v>
      </c>
      <c r="CL25" s="84">
        <f t="shared" si="70"/>
        <v>0</v>
      </c>
      <c r="CM25" s="84">
        <f>IF(CL25="","",IF(OR(CL25=1,IF(ISNA(MATCH("מוגן",$I25:CL25,0)),FALSE,TRUE)),1,0))</f>
        <v>0</v>
      </c>
      <c r="CN25" s="241">
        <f>IF(CM25="","",IF(CM25=1,$C$4*$D25,CJ25))</f>
        <v>1.7374406487513074E-2</v>
      </c>
      <c r="CO25" s="241" t="str">
        <f t="shared" si="72"/>
        <v>סיום</v>
      </c>
      <c r="CP25" s="242">
        <f t="shared" si="73"/>
        <v>1.7374406487513074E-2</v>
      </c>
      <c r="CQ25" s="240">
        <f t="shared" si="74"/>
        <v>1.0019538802478014</v>
      </c>
      <c r="CR25" s="84">
        <f t="shared" si="75"/>
        <v>0</v>
      </c>
      <c r="CS25" s="84">
        <f>IF(CR25="","",IF(OR(CR25=1,IF(ISNA(MATCH("מוגן",$I25:CR25,0)),FALSE,TRUE)),1,0))</f>
        <v>0</v>
      </c>
      <c r="CT25" s="241">
        <f>IF(CS25="","",IF(CS25=1,$C$4*$D25,CP25))</f>
        <v>1.7374406487513074E-2</v>
      </c>
      <c r="CU25" s="241" t="str">
        <f t="shared" si="77"/>
        <v>סיום</v>
      </c>
      <c r="CV25" s="242">
        <f t="shared" si="78"/>
        <v>1.7374406487513074E-2</v>
      </c>
      <c r="CW25" s="240">
        <f t="shared" si="79"/>
        <v>1.0019538802478014</v>
      </c>
      <c r="CX25" s="84">
        <f t="shared" si="80"/>
        <v>0</v>
      </c>
      <c r="CY25" s="84">
        <f>IF(CX25="","",IF(OR(CX25=1,IF(ISNA(MATCH("מוגן",$I25:CX25,0)),FALSE,TRUE)),1,0))</f>
        <v>0</v>
      </c>
      <c r="CZ25" s="241">
        <f>IF(CY25="","",IF(CY25=1,$C$4*$D25,CV25))</f>
        <v>1.7374406487513074E-2</v>
      </c>
      <c r="DA25" s="241" t="str">
        <f t="shared" si="82"/>
        <v>סיום</v>
      </c>
      <c r="DB25" s="242">
        <f t="shared" si="83"/>
        <v>1.7374406487513074E-2</v>
      </c>
      <c r="DC25" s="240">
        <f t="shared" si="84"/>
        <v>1.0019538802478014</v>
      </c>
      <c r="DD25" s="84">
        <f t="shared" si="85"/>
        <v>0</v>
      </c>
      <c r="DE25" s="84">
        <f>IF(DD25="","",IF(OR(DD25=1,IF(ISNA(MATCH("מוגן",$I25:DD25,0)),FALSE,TRUE)),1,0))</f>
        <v>0</v>
      </c>
      <c r="DF25" s="241">
        <f>IF(DE25="","",IF(DE25=1,$C$4*$D25,DB25))</f>
        <v>1.7374406487513074E-2</v>
      </c>
      <c r="DG25" s="241" t="str">
        <f t="shared" si="87"/>
        <v>סיום</v>
      </c>
      <c r="DH25" s="242">
        <f t="shared" si="88"/>
        <v>1.7374406487513074E-2</v>
      </c>
      <c r="DI25" s="240">
        <f t="shared" si="89"/>
        <v>1.0019538802478014</v>
      </c>
      <c r="DJ25" s="84">
        <f t="shared" si="90"/>
        <v>0</v>
      </c>
      <c r="DK25" s="84">
        <f>IF(DJ25="","",IF(OR(DJ25=1,IF(ISNA(MATCH("מוגן",$I25:DJ25,0)),FALSE,TRUE)),1,0))</f>
        <v>0</v>
      </c>
      <c r="DL25" s="241">
        <f>IF(DK25="","",IF(DK25=1,$C$4*$D25,DH25))</f>
        <v>1.7374406487513074E-2</v>
      </c>
      <c r="DM25" s="241" t="str">
        <f t="shared" si="92"/>
        <v>סיום</v>
      </c>
      <c r="DN25" s="242">
        <f t="shared" si="93"/>
        <v>1.7374406487513074E-2</v>
      </c>
      <c r="DO25" s="240">
        <f t="shared" si="94"/>
        <v>1.0019538802478014</v>
      </c>
      <c r="DP25" s="84">
        <f t="shared" si="95"/>
        <v>0</v>
      </c>
      <c r="DQ25" s="84">
        <f>IF(DP25="","",IF(OR(DP25=1,IF(ISNA(MATCH("מוגן",$I25:DP25,0)),FALSE,TRUE)),1,0))</f>
        <v>0</v>
      </c>
      <c r="DR25" s="241">
        <f>IF(DQ25="","",IF(DQ25=1,$C$4*$D25,DN25))</f>
        <v>1.7374406487513074E-2</v>
      </c>
      <c r="DS25" s="241" t="str">
        <f t="shared" si="97"/>
        <v>סיום</v>
      </c>
      <c r="DT25" s="242">
        <f t="shared" si="98"/>
        <v>1.7374406487513074E-2</v>
      </c>
      <c r="DU25" s="240">
        <f t="shared" si="99"/>
        <v>1.0019538802478014</v>
      </c>
      <c r="DV25" s="84">
        <f t="shared" si="100"/>
        <v>0</v>
      </c>
      <c r="DW25" s="84">
        <f>IF(DV25="","",IF(OR(DV25=1,IF(ISNA(MATCH("מוגן",$I25:DV25,0)),FALSE,TRUE)),1,0))</f>
        <v>0</v>
      </c>
      <c r="DX25" s="241">
        <f>IF(DW25="","",IF(DW25=1,$C$4*$D25,DT25))</f>
        <v>1.7374406487513074E-2</v>
      </c>
      <c r="DY25" s="241" t="str">
        <f t="shared" si="102"/>
        <v>סיום</v>
      </c>
      <c r="DZ25" s="242">
        <f t="shared" si="103"/>
        <v>1.7374406487513074E-2</v>
      </c>
      <c r="EA25" s="240">
        <f t="shared" si="104"/>
        <v>1.0019538802478014</v>
      </c>
      <c r="EB25" s="84">
        <f t="shared" si="105"/>
        <v>0</v>
      </c>
      <c r="EC25" s="84">
        <f>IF(EB25="","",IF(OR(EB25=1,IF(ISNA(MATCH("מוגן",$I25:EB25,0)),FALSE,TRUE)),1,0))</f>
        <v>0</v>
      </c>
      <c r="ED25" s="241">
        <f>IF(EC25="","",IF(EC25=1,$C$4*$D25,DZ25))</f>
        <v>1.7374406487513074E-2</v>
      </c>
      <c r="EE25" s="241" t="str">
        <f t="shared" si="107"/>
        <v>סיום</v>
      </c>
      <c r="EF25" s="242">
        <f t="shared" si="108"/>
        <v>1.7374406487513074E-2</v>
      </c>
      <c r="EG25" s="240">
        <f t="shared" si="109"/>
        <v>1.0019538802478014</v>
      </c>
      <c r="EH25" s="84">
        <f t="shared" si="110"/>
        <v>0</v>
      </c>
      <c r="EI25" s="84">
        <f>IF(EH25="","",IF(OR(EH25=1,IF(ISNA(MATCH("מוגן",$I25:EH25,0)),FALSE,TRUE)),1,0))</f>
        <v>0</v>
      </c>
      <c r="EJ25" s="241">
        <f>IF(EI25="","",IF(EI25=1,$C$4*$D25,EF25))</f>
        <v>1.7374406487513074E-2</v>
      </c>
      <c r="EK25" s="241" t="str">
        <f t="shared" si="112"/>
        <v>סיום</v>
      </c>
      <c r="EL25" s="242">
        <f t="shared" si="113"/>
        <v>1.7374406487513074E-2</v>
      </c>
      <c r="EM25" s="240">
        <f t="shared" si="114"/>
        <v>1.0019538802478014</v>
      </c>
      <c r="EN25" s="84">
        <f t="shared" si="115"/>
        <v>0</v>
      </c>
      <c r="EO25" s="84">
        <f>IF(EN25="","",IF(OR(EN25=1,IF(ISNA(MATCH("מוגן",$I25:EN25,0)),FALSE,TRUE)),1,0))</f>
        <v>0</v>
      </c>
      <c r="EP25" s="241">
        <f>IF(EO25="","",IF(EO25=1,$C$4*$D25,EL25))</f>
        <v>1.7374406487513074E-2</v>
      </c>
      <c r="EQ25" s="241" t="str">
        <f t="shared" si="117"/>
        <v>סיום</v>
      </c>
      <c r="ER25" s="242">
        <f t="shared" si="118"/>
        <v>1.7374406487513074E-2</v>
      </c>
      <c r="ES25" s="240">
        <f t="shared" si="119"/>
        <v>1.0019538802478014</v>
      </c>
      <c r="ET25" s="84">
        <f t="shared" si="120"/>
        <v>0</v>
      </c>
      <c r="EU25" s="84">
        <f>IF(ET25="","",IF(OR(ET25=1,IF(ISNA(MATCH("מוגן",$I25:ET25,0)),FALSE,TRUE)),1,0))</f>
        <v>0</v>
      </c>
      <c r="EV25" s="241">
        <f>IF(EU25="","",IF(EU25=1,$C$4*$D25,ER25))</f>
        <v>1.7374406487513074E-2</v>
      </c>
      <c r="EW25" s="241" t="str">
        <f t="shared" si="122"/>
        <v>סיום</v>
      </c>
      <c r="EX25" s="242">
        <f t="shared" si="123"/>
        <v>1.7374406487513074E-2</v>
      </c>
      <c r="EY25" s="240">
        <f t="shared" si="124"/>
        <v>1.0019538802478014</v>
      </c>
      <c r="EZ25" s="84">
        <f t="shared" si="125"/>
        <v>0</v>
      </c>
      <c r="FA25" s="84">
        <f>IF(EZ25="","",IF(OR(EZ25=1,IF(ISNA(MATCH("מוגן",$I25:EZ25,0)),FALSE,TRUE)),1,0))</f>
        <v>0</v>
      </c>
      <c r="FB25" s="241">
        <f>IF(FA25="","",IF(FA25=1,$C$4*$D25,EX25))</f>
        <v>1.7374406487513074E-2</v>
      </c>
      <c r="FC25" s="241" t="str">
        <f t="shared" si="127"/>
        <v>סיום</v>
      </c>
      <c r="FD25" s="242">
        <f t="shared" si="128"/>
        <v>1.7374406487513074E-2</v>
      </c>
      <c r="FE25" s="240">
        <f t="shared" si="129"/>
        <v>1.0019538802478014</v>
      </c>
      <c r="FF25" s="84">
        <f t="shared" si="130"/>
        <v>0</v>
      </c>
      <c r="FG25" s="84">
        <f>IF(FF25="","",IF(OR(FF25=1,IF(ISNA(MATCH("מוגן",$I25:FF25,0)),FALSE,TRUE)),1,0))</f>
        <v>0</v>
      </c>
      <c r="FH25" s="241">
        <f>IF(FG25="","",IF(FG25=1,$C$4*$D25,FD25))</f>
        <v>1.7374406487513074E-2</v>
      </c>
      <c r="FI25" s="241" t="str">
        <f t="shared" si="132"/>
        <v>סיום</v>
      </c>
      <c r="FJ25" s="242">
        <f t="shared" si="133"/>
        <v>1.7374406487513074E-2</v>
      </c>
      <c r="FK25" s="240">
        <f t="shared" si="134"/>
        <v>1.0019538802478014</v>
      </c>
      <c r="FL25" s="84">
        <f t="shared" si="135"/>
        <v>0</v>
      </c>
      <c r="FM25" s="84">
        <f>IF(FL25="","",IF(OR(FL25=1,IF(ISNA(MATCH("מוגן",$I25:FL25,0)),FALSE,TRUE)),1,0))</f>
        <v>0</v>
      </c>
      <c r="FN25" s="241">
        <f>IF(FM25="","",IF(FM25=1,$C$4*$D25,FJ25))</f>
        <v>1.7374406487513074E-2</v>
      </c>
      <c r="FO25" s="241" t="str">
        <f t="shared" si="137"/>
        <v>סיום</v>
      </c>
      <c r="FP25" s="242">
        <f t="shared" si="138"/>
        <v>1.7374406487513074E-2</v>
      </c>
      <c r="FQ25" s="240">
        <f t="shared" si="139"/>
        <v>1.0019538802478014</v>
      </c>
      <c r="FR25" s="84">
        <f t="shared" si="140"/>
        <v>0</v>
      </c>
      <c r="FS25" s="84">
        <f>IF(FR25="","",IF(OR(FR25=1,IF(ISNA(MATCH("מוגן",$I25:FR25,0)),FALSE,TRUE)),1,0))</f>
        <v>0</v>
      </c>
      <c r="FT25" s="241">
        <f>IF(FS25="","",IF(FS25=1,$C$4*$D25,FP25))</f>
        <v>1.7374406487513074E-2</v>
      </c>
      <c r="FU25" s="241" t="str">
        <f t="shared" si="142"/>
        <v>סיום</v>
      </c>
      <c r="FV25" s="242">
        <f t="shared" si="143"/>
        <v>1.7374406487513074E-2</v>
      </c>
      <c r="FW25" s="240">
        <f t="shared" si="144"/>
        <v>1.0019538802478014</v>
      </c>
      <c r="FX25" s="84">
        <f t="shared" si="145"/>
        <v>0</v>
      </c>
      <c r="FY25" s="84">
        <f>IF(FX25="","",IF(OR(FX25=1,IF(ISNA(MATCH("מוגן",$I25:FX25,0)),FALSE,TRUE)),1,0))</f>
        <v>0</v>
      </c>
      <c r="FZ25" s="241">
        <f>IF(FY25="","",IF(FY25=1,$C$4*$D25,FV25))</f>
        <v>1.7374406487513074E-2</v>
      </c>
      <c r="GA25" s="241" t="str">
        <f t="shared" si="147"/>
        <v>סיום</v>
      </c>
      <c r="GB25" s="242">
        <f t="shared" si="148"/>
        <v>1.7374406487513074E-2</v>
      </c>
      <c r="GC25" s="240">
        <f t="shared" si="149"/>
        <v>1.0019538802478014</v>
      </c>
      <c r="GD25" s="84">
        <f t="shared" si="150"/>
        <v>0</v>
      </c>
      <c r="GE25" s="84">
        <f>IF(GD25="","",IF(OR(GD25=1,IF(ISNA(MATCH("מוגן",$I25:GD25,0)),FALSE,TRUE)),1,0))</f>
        <v>0</v>
      </c>
      <c r="GF25" s="241">
        <f t="shared" si="151"/>
        <v>1.7374406487513074E-2</v>
      </c>
      <c r="GG25" s="241" t="str">
        <f t="shared" si="152"/>
        <v>סיום</v>
      </c>
      <c r="GH25" s="242">
        <f t="shared" si="153"/>
        <v>1.7374406487513074E-2</v>
      </c>
      <c r="GI25" s="240">
        <f t="shared" si="154"/>
        <v>1.0019538802478014</v>
      </c>
      <c r="GJ25" s="84">
        <f t="shared" si="155"/>
        <v>0</v>
      </c>
      <c r="GK25" s="84">
        <f>IF(GJ25="","",IF(OR(GJ25=1,IF(ISNA(MATCH("מוגן",$I25:GJ25,0)),FALSE,TRUE)),1,0))</f>
        <v>0</v>
      </c>
      <c r="GL25" s="241">
        <f t="shared" si="156"/>
        <v>1.7374406487513074E-2</v>
      </c>
      <c r="GM25" s="241" t="str">
        <f t="shared" si="157"/>
        <v>סיום</v>
      </c>
      <c r="GN25" s="242">
        <f t="shared" si="158"/>
        <v>1.7374406487513074E-2</v>
      </c>
      <c r="GO25" s="240">
        <f t="shared" si="159"/>
        <v>1.0019538802478014</v>
      </c>
      <c r="GP25" s="84">
        <f t="shared" si="160"/>
        <v>0</v>
      </c>
      <c r="GQ25" s="84">
        <f>IF(GP25="","",IF(OR(GP25=1,IF(ISNA(MATCH("מוגן",$I25:GP25,0)),FALSE,TRUE)),1,0))</f>
        <v>0</v>
      </c>
      <c r="GR25" s="241">
        <f t="shared" si="161"/>
        <v>1.7374406487513074E-2</v>
      </c>
      <c r="GS25" s="241" t="str">
        <f t="shared" si="162"/>
        <v>סיום</v>
      </c>
      <c r="GT25" s="242">
        <f t="shared" si="163"/>
        <v>1.7374406487513074E-2</v>
      </c>
      <c r="GU25" s="240">
        <f t="shared" si="164"/>
        <v>1.0019538802478014</v>
      </c>
      <c r="GV25" s="84">
        <f t="shared" si="165"/>
        <v>0</v>
      </c>
      <c r="GW25" s="84">
        <f>IF(GV25="","",IF(OR(GV25=1,IF(ISNA(MATCH("מוגן",$I25:GV25,0)),FALSE,TRUE)),1,0))</f>
        <v>0</v>
      </c>
      <c r="GX25" s="241">
        <f t="shared" si="166"/>
        <v>1.7374406487513074E-2</v>
      </c>
      <c r="GY25" s="241" t="str">
        <f t="shared" si="167"/>
        <v>סיום</v>
      </c>
      <c r="GZ25" s="242">
        <f t="shared" si="168"/>
        <v>1.7374406487513074E-2</v>
      </c>
      <c r="HA25" s="119">
        <f t="shared" si="169"/>
        <v>1716973.8585251144</v>
      </c>
      <c r="HB25" s="246" t="str">
        <f>IF(AND(HD25=1,C25=1),"Prob.","OK")</f>
        <v>OK</v>
      </c>
      <c r="HC25" s="244">
        <f t="shared" si="171"/>
        <v>1.0019538802478014</v>
      </c>
      <c r="HD25" s="245">
        <f>IF(HC25="","",IF(HC25&lt;(1-$C$3),1,P25))</f>
        <v>1.7374406487513074E-2</v>
      </c>
      <c r="HE25" s="111">
        <f t="shared" si="173"/>
        <v>0</v>
      </c>
      <c r="HF25" s="111">
        <f t="shared" si="174"/>
        <v>1</v>
      </c>
      <c r="HG25" s="111" t="b">
        <f>OR(B25="",ISNA(MATCH(C25,{0,1},0)))</f>
        <v>0</v>
      </c>
    </row>
    <row r="26" spans="1:215">
      <c r="A26" s="120">
        <f>ייצוב!A22</f>
        <v>18</v>
      </c>
      <c r="B26" s="121" t="str">
        <f>ייצוב!B22</f>
        <v>אורנה פורת</v>
      </c>
      <c r="C26" s="67"/>
      <c r="D26" s="240">
        <f>ייצוב!E22</f>
        <v>5.7449923357306691E-2</v>
      </c>
      <c r="E26" s="240">
        <f>ייצוב!G22</f>
        <v>5.6935470745992103E-2</v>
      </c>
      <c r="F26" s="240">
        <f t="shared" si="0"/>
        <v>0.99104519934491508</v>
      </c>
      <c r="G26" s="84">
        <f t="shared" si="1"/>
        <v>0</v>
      </c>
      <c r="H26" s="241">
        <f t="shared" si="2"/>
        <v>5.6935470745992103E-2</v>
      </c>
      <c r="I26" s="241">
        <f t="array" ref="I26">IF(H26="","",IF(G26=1,"מוגן",H26/SUMIF(G$9:G$41,"=0",H$9:H$41)))</f>
        <v>5.6935470745992103E-2</v>
      </c>
      <c r="J26" s="242">
        <f t="shared" si="3"/>
        <v>5.6935470745992103E-2</v>
      </c>
      <c r="K26" s="240">
        <f t="shared" si="4"/>
        <v>0.99104519934491508</v>
      </c>
      <c r="L26" s="84">
        <f t="shared" si="5"/>
        <v>0</v>
      </c>
      <c r="M26" s="84">
        <f>IF(L26="","",IF(OR(L26=1,IF(ISNA(MATCH("מוגן",$I26:L26,0)),FALSE,TRUE)),1,0))</f>
        <v>0</v>
      </c>
      <c r="N26" s="241">
        <f>IF(M26="","",IF(M26=1,$C$4*$D26,J26))</f>
        <v>5.6935470745992103E-2</v>
      </c>
      <c r="O26" s="241" t="str">
        <f t="shared" si="7"/>
        <v>סיום</v>
      </c>
      <c r="P26" s="242">
        <f t="shared" si="8"/>
        <v>5.6935470745992103E-2</v>
      </c>
      <c r="Q26" s="240">
        <f t="shared" si="9"/>
        <v>0.99104519934491508</v>
      </c>
      <c r="R26" s="84">
        <f t="shared" si="10"/>
        <v>0</v>
      </c>
      <c r="S26" s="84">
        <f>IF(R26="","",IF(OR(R26=1,IF(ISNA(MATCH("מוגן",$I26:R26,0)),FALSE,TRUE)),1,0))</f>
        <v>0</v>
      </c>
      <c r="T26" s="241">
        <f>IF(S26="","",IF(S26=1,$C$4*$D26,P26))</f>
        <v>5.6935470745992103E-2</v>
      </c>
      <c r="U26" s="241" t="str">
        <f t="shared" si="12"/>
        <v>סיום</v>
      </c>
      <c r="V26" s="242">
        <f t="shared" si="13"/>
        <v>5.6935470745992103E-2</v>
      </c>
      <c r="W26" s="240">
        <f t="shared" si="14"/>
        <v>0.99104519934491508</v>
      </c>
      <c r="X26" s="84">
        <f t="shared" si="15"/>
        <v>0</v>
      </c>
      <c r="Y26" s="84">
        <f>IF(X26="","",IF(OR(X26=1,IF(ISNA(MATCH("מוגן",$I26:X26,0)),FALSE,TRUE)),1,0))</f>
        <v>0</v>
      </c>
      <c r="Z26" s="241">
        <f>IF(Y26="","",IF(Y26=1,$C$4*$D26,V26))</f>
        <v>5.6935470745992103E-2</v>
      </c>
      <c r="AA26" s="241" t="str">
        <f t="shared" si="17"/>
        <v>סיום</v>
      </c>
      <c r="AB26" s="242">
        <f t="shared" si="18"/>
        <v>5.6935470745992103E-2</v>
      </c>
      <c r="AC26" s="240">
        <f t="shared" si="19"/>
        <v>0.99104519934491508</v>
      </c>
      <c r="AD26" s="84">
        <f t="shared" si="20"/>
        <v>0</v>
      </c>
      <c r="AE26" s="84">
        <f>IF(AD26="","",IF(OR(AD26=1,IF(ISNA(MATCH("מוגן",$I26:AD26,0)),FALSE,TRUE)),1,0))</f>
        <v>0</v>
      </c>
      <c r="AF26" s="241">
        <f>IF(AE26="","",IF(AE26=1,$C$4*$D26,AB26))</f>
        <v>5.6935470745992103E-2</v>
      </c>
      <c r="AG26" s="241" t="str">
        <f t="shared" si="22"/>
        <v>סיום</v>
      </c>
      <c r="AH26" s="242">
        <f t="shared" si="23"/>
        <v>5.6935470745992103E-2</v>
      </c>
      <c r="AI26" s="240">
        <f t="shared" si="24"/>
        <v>0.99104519934491508</v>
      </c>
      <c r="AJ26" s="84">
        <f t="shared" si="25"/>
        <v>0</v>
      </c>
      <c r="AK26" s="84">
        <f>IF(AJ26="","",IF(OR(AJ26=1,IF(ISNA(MATCH("מוגן",$I26:AJ26,0)),FALSE,TRUE)),1,0))</f>
        <v>0</v>
      </c>
      <c r="AL26" s="241">
        <f>IF(AK26="","",IF(AK26=1,$C$4*$D26,AH26))</f>
        <v>5.6935470745992103E-2</v>
      </c>
      <c r="AM26" s="241" t="str">
        <f t="shared" si="27"/>
        <v>סיום</v>
      </c>
      <c r="AN26" s="242">
        <f t="shared" si="28"/>
        <v>5.6935470745992103E-2</v>
      </c>
      <c r="AO26" s="240">
        <f t="shared" si="29"/>
        <v>0.99104519934491508</v>
      </c>
      <c r="AP26" s="84">
        <f t="shared" si="30"/>
        <v>0</v>
      </c>
      <c r="AQ26" s="84">
        <f>IF(AP26="","",IF(OR(AP26=1,IF(ISNA(MATCH("מוגן",$I26:AP26,0)),FALSE,TRUE)),1,0))</f>
        <v>0</v>
      </c>
      <c r="AR26" s="241">
        <f>IF(AQ26="","",IF(AQ26=1,$C$4*$D26,AN26))</f>
        <v>5.6935470745992103E-2</v>
      </c>
      <c r="AS26" s="241" t="str">
        <f t="shared" si="32"/>
        <v>סיום</v>
      </c>
      <c r="AT26" s="242">
        <f t="shared" si="33"/>
        <v>5.6935470745992103E-2</v>
      </c>
      <c r="AU26" s="240">
        <f t="shared" si="34"/>
        <v>0.99104519934491508</v>
      </c>
      <c r="AV26" s="84">
        <f t="shared" si="35"/>
        <v>0</v>
      </c>
      <c r="AW26" s="84">
        <f>IF(AV26="","",IF(OR(AV26=1,IF(ISNA(MATCH("מוגן",$I26:AV26,0)),FALSE,TRUE)),1,0))</f>
        <v>0</v>
      </c>
      <c r="AX26" s="241">
        <f>IF(AW26="","",IF(AW26=1,$C$4*$D26,AT26))</f>
        <v>5.6935470745992103E-2</v>
      </c>
      <c r="AY26" s="241" t="str">
        <f t="shared" si="37"/>
        <v>סיום</v>
      </c>
      <c r="AZ26" s="242">
        <f t="shared" si="38"/>
        <v>5.6935470745992103E-2</v>
      </c>
      <c r="BA26" s="240">
        <f t="shared" si="39"/>
        <v>0.99104519934491508</v>
      </c>
      <c r="BB26" s="84">
        <f t="shared" si="40"/>
        <v>0</v>
      </c>
      <c r="BC26" s="84">
        <f>IF(BB26="","",IF(OR(BB26=1,IF(ISNA(MATCH("מוגן",$I26:BB26,0)),FALSE,TRUE)),1,0))</f>
        <v>0</v>
      </c>
      <c r="BD26" s="241">
        <f>IF(BC26="","",IF(BC26=1,$C$4*$D26,AZ26))</f>
        <v>5.6935470745992103E-2</v>
      </c>
      <c r="BE26" s="241" t="str">
        <f t="shared" si="42"/>
        <v>סיום</v>
      </c>
      <c r="BF26" s="242">
        <f t="shared" si="43"/>
        <v>5.6935470745992103E-2</v>
      </c>
      <c r="BG26" s="240">
        <f t="shared" si="44"/>
        <v>0.99104519934491508</v>
      </c>
      <c r="BH26" s="84">
        <f t="shared" si="45"/>
        <v>0</v>
      </c>
      <c r="BI26" s="84">
        <f>IF(BH26="","",IF(OR(BH26=1,IF(ISNA(MATCH("מוגן",$I26:BH26,0)),FALSE,TRUE)),1,0))</f>
        <v>0</v>
      </c>
      <c r="BJ26" s="241">
        <f>IF(BI26="","",IF(BI26=1,$C$4*$D26,BF26))</f>
        <v>5.6935470745992103E-2</v>
      </c>
      <c r="BK26" s="241" t="str">
        <f t="shared" si="47"/>
        <v>סיום</v>
      </c>
      <c r="BL26" s="242">
        <f t="shared" si="48"/>
        <v>5.6935470745992103E-2</v>
      </c>
      <c r="BM26" s="240">
        <f t="shared" si="49"/>
        <v>0.99104519934491508</v>
      </c>
      <c r="BN26" s="84">
        <f t="shared" si="50"/>
        <v>0</v>
      </c>
      <c r="BO26" s="84">
        <f>IF(BN26="","",IF(OR(BN26=1,IF(ISNA(MATCH("מוגן",$I26:BN26,0)),FALSE,TRUE)),1,0))</f>
        <v>0</v>
      </c>
      <c r="BP26" s="241">
        <f>IF(BO26="","",IF(BO26=1,$C$4*$D26,BL26))</f>
        <v>5.6935470745992103E-2</v>
      </c>
      <c r="BQ26" s="241" t="str">
        <f t="shared" si="52"/>
        <v>סיום</v>
      </c>
      <c r="BR26" s="242">
        <f t="shared" si="53"/>
        <v>5.6935470745992103E-2</v>
      </c>
      <c r="BS26" s="240">
        <f t="shared" si="54"/>
        <v>0.99104519934491508</v>
      </c>
      <c r="BT26" s="84">
        <f t="shared" si="55"/>
        <v>0</v>
      </c>
      <c r="BU26" s="84">
        <f>IF(BT26="","",IF(OR(BT26=1,IF(ISNA(MATCH("מוגן",$I26:BT26,0)),FALSE,TRUE)),1,0))</f>
        <v>0</v>
      </c>
      <c r="BV26" s="241">
        <f>IF(BU26="","",IF(BU26=1,$C$4*$D26,BR26))</f>
        <v>5.6935470745992103E-2</v>
      </c>
      <c r="BW26" s="241" t="str">
        <f t="shared" si="57"/>
        <v>סיום</v>
      </c>
      <c r="BX26" s="242">
        <f t="shared" si="58"/>
        <v>5.6935470745992103E-2</v>
      </c>
      <c r="BY26" s="240">
        <f t="shared" si="59"/>
        <v>0.99104519934491508</v>
      </c>
      <c r="BZ26" s="84">
        <f t="shared" si="60"/>
        <v>0</v>
      </c>
      <c r="CA26" s="84">
        <f>IF(BZ26="","",IF(OR(BZ26=1,IF(ISNA(MATCH("מוגן",$I26:BZ26,0)),FALSE,TRUE)),1,0))</f>
        <v>0</v>
      </c>
      <c r="CB26" s="241">
        <f>IF(CA26="","",IF(CA26=1,$C$4*$D26,BX26))</f>
        <v>5.6935470745992103E-2</v>
      </c>
      <c r="CC26" s="241" t="str">
        <f t="shared" si="62"/>
        <v>סיום</v>
      </c>
      <c r="CD26" s="242">
        <f t="shared" si="63"/>
        <v>5.6935470745992103E-2</v>
      </c>
      <c r="CE26" s="240">
        <f t="shared" si="64"/>
        <v>0.99104519934491508</v>
      </c>
      <c r="CF26" s="84">
        <f t="shared" si="65"/>
        <v>0</v>
      </c>
      <c r="CG26" s="84">
        <f>IF(CF26="","",IF(OR(CF26=1,IF(ISNA(MATCH("מוגן",$I26:CF26,0)),FALSE,TRUE)),1,0))</f>
        <v>0</v>
      </c>
      <c r="CH26" s="241">
        <f>IF(CG26="","",IF(CG26=1,$C$4*$D26,CD26))</f>
        <v>5.6935470745992103E-2</v>
      </c>
      <c r="CI26" s="241" t="str">
        <f t="shared" si="67"/>
        <v>סיום</v>
      </c>
      <c r="CJ26" s="242">
        <f t="shared" si="68"/>
        <v>5.6935470745992103E-2</v>
      </c>
      <c r="CK26" s="240">
        <f t="shared" si="69"/>
        <v>0.99104519934491508</v>
      </c>
      <c r="CL26" s="84">
        <f t="shared" si="70"/>
        <v>0</v>
      </c>
      <c r="CM26" s="84">
        <f>IF(CL26="","",IF(OR(CL26=1,IF(ISNA(MATCH("מוגן",$I26:CL26,0)),FALSE,TRUE)),1,0))</f>
        <v>0</v>
      </c>
      <c r="CN26" s="241">
        <f>IF(CM26="","",IF(CM26=1,$C$4*$D26,CJ26))</f>
        <v>5.6935470745992103E-2</v>
      </c>
      <c r="CO26" s="241" t="str">
        <f t="shared" si="72"/>
        <v>סיום</v>
      </c>
      <c r="CP26" s="242">
        <f t="shared" si="73"/>
        <v>5.6935470745992103E-2</v>
      </c>
      <c r="CQ26" s="240">
        <f t="shared" si="74"/>
        <v>0.99104519934491508</v>
      </c>
      <c r="CR26" s="84">
        <f t="shared" si="75"/>
        <v>0</v>
      </c>
      <c r="CS26" s="84">
        <f>IF(CR26="","",IF(OR(CR26=1,IF(ISNA(MATCH("מוגן",$I26:CR26,0)),FALSE,TRUE)),1,0))</f>
        <v>0</v>
      </c>
      <c r="CT26" s="241">
        <f>IF(CS26="","",IF(CS26=1,$C$4*$D26,CP26))</f>
        <v>5.6935470745992103E-2</v>
      </c>
      <c r="CU26" s="241" t="str">
        <f t="shared" si="77"/>
        <v>סיום</v>
      </c>
      <c r="CV26" s="242">
        <f t="shared" si="78"/>
        <v>5.6935470745992103E-2</v>
      </c>
      <c r="CW26" s="240">
        <f t="shared" si="79"/>
        <v>0.99104519934491508</v>
      </c>
      <c r="CX26" s="84">
        <f t="shared" si="80"/>
        <v>0</v>
      </c>
      <c r="CY26" s="84">
        <f>IF(CX26="","",IF(OR(CX26=1,IF(ISNA(MATCH("מוגן",$I26:CX26,0)),FALSE,TRUE)),1,0))</f>
        <v>0</v>
      </c>
      <c r="CZ26" s="241">
        <f>IF(CY26="","",IF(CY26=1,$C$4*$D26,CV26))</f>
        <v>5.6935470745992103E-2</v>
      </c>
      <c r="DA26" s="241" t="str">
        <f t="shared" si="82"/>
        <v>סיום</v>
      </c>
      <c r="DB26" s="242">
        <f t="shared" si="83"/>
        <v>5.6935470745992103E-2</v>
      </c>
      <c r="DC26" s="240">
        <f t="shared" si="84"/>
        <v>0.99104519934491508</v>
      </c>
      <c r="DD26" s="84">
        <f t="shared" si="85"/>
        <v>0</v>
      </c>
      <c r="DE26" s="84">
        <f>IF(DD26="","",IF(OR(DD26=1,IF(ISNA(MATCH("מוגן",$I26:DD26,0)),FALSE,TRUE)),1,0))</f>
        <v>0</v>
      </c>
      <c r="DF26" s="241">
        <f>IF(DE26="","",IF(DE26=1,$C$4*$D26,DB26))</f>
        <v>5.6935470745992103E-2</v>
      </c>
      <c r="DG26" s="241" t="str">
        <f t="shared" si="87"/>
        <v>סיום</v>
      </c>
      <c r="DH26" s="242">
        <f t="shared" si="88"/>
        <v>5.6935470745992103E-2</v>
      </c>
      <c r="DI26" s="240">
        <f t="shared" si="89"/>
        <v>0.99104519934491508</v>
      </c>
      <c r="DJ26" s="84">
        <f t="shared" si="90"/>
        <v>0</v>
      </c>
      <c r="DK26" s="84">
        <f>IF(DJ26="","",IF(OR(DJ26=1,IF(ISNA(MATCH("מוגן",$I26:DJ26,0)),FALSE,TRUE)),1,0))</f>
        <v>0</v>
      </c>
      <c r="DL26" s="241">
        <f>IF(DK26="","",IF(DK26=1,$C$4*$D26,DH26))</f>
        <v>5.6935470745992103E-2</v>
      </c>
      <c r="DM26" s="241" t="str">
        <f t="shared" si="92"/>
        <v>סיום</v>
      </c>
      <c r="DN26" s="242">
        <f t="shared" si="93"/>
        <v>5.6935470745992103E-2</v>
      </c>
      <c r="DO26" s="240">
        <f t="shared" si="94"/>
        <v>0.99104519934491508</v>
      </c>
      <c r="DP26" s="84">
        <f t="shared" si="95"/>
        <v>0</v>
      </c>
      <c r="DQ26" s="84">
        <f>IF(DP26="","",IF(OR(DP26=1,IF(ISNA(MATCH("מוגן",$I26:DP26,0)),FALSE,TRUE)),1,0))</f>
        <v>0</v>
      </c>
      <c r="DR26" s="241">
        <f>IF(DQ26="","",IF(DQ26=1,$C$4*$D26,DN26))</f>
        <v>5.6935470745992103E-2</v>
      </c>
      <c r="DS26" s="241" t="str">
        <f t="shared" si="97"/>
        <v>סיום</v>
      </c>
      <c r="DT26" s="242">
        <f t="shared" si="98"/>
        <v>5.6935470745992103E-2</v>
      </c>
      <c r="DU26" s="240">
        <f t="shared" si="99"/>
        <v>0.99104519934491508</v>
      </c>
      <c r="DV26" s="84">
        <f t="shared" si="100"/>
        <v>0</v>
      </c>
      <c r="DW26" s="84">
        <f>IF(DV26="","",IF(OR(DV26=1,IF(ISNA(MATCH("מוגן",$I26:DV26,0)),FALSE,TRUE)),1,0))</f>
        <v>0</v>
      </c>
      <c r="DX26" s="241">
        <f>IF(DW26="","",IF(DW26=1,$C$4*$D26,DT26))</f>
        <v>5.6935470745992103E-2</v>
      </c>
      <c r="DY26" s="241" t="str">
        <f t="shared" si="102"/>
        <v>סיום</v>
      </c>
      <c r="DZ26" s="242">
        <f t="shared" si="103"/>
        <v>5.6935470745992103E-2</v>
      </c>
      <c r="EA26" s="240">
        <f t="shared" si="104"/>
        <v>0.99104519934491508</v>
      </c>
      <c r="EB26" s="84">
        <f t="shared" si="105"/>
        <v>0</v>
      </c>
      <c r="EC26" s="84">
        <f>IF(EB26="","",IF(OR(EB26=1,IF(ISNA(MATCH("מוגן",$I26:EB26,0)),FALSE,TRUE)),1,0))</f>
        <v>0</v>
      </c>
      <c r="ED26" s="241">
        <f>IF(EC26="","",IF(EC26=1,$C$4*$D26,DZ26))</f>
        <v>5.6935470745992103E-2</v>
      </c>
      <c r="EE26" s="241" t="str">
        <f t="shared" si="107"/>
        <v>סיום</v>
      </c>
      <c r="EF26" s="242">
        <f t="shared" si="108"/>
        <v>5.6935470745992103E-2</v>
      </c>
      <c r="EG26" s="240">
        <f t="shared" si="109"/>
        <v>0.99104519934491508</v>
      </c>
      <c r="EH26" s="84">
        <f t="shared" si="110"/>
        <v>0</v>
      </c>
      <c r="EI26" s="84">
        <f>IF(EH26="","",IF(OR(EH26=1,IF(ISNA(MATCH("מוגן",$I26:EH26,0)),FALSE,TRUE)),1,0))</f>
        <v>0</v>
      </c>
      <c r="EJ26" s="241">
        <f>IF(EI26="","",IF(EI26=1,$C$4*$D26,EF26))</f>
        <v>5.6935470745992103E-2</v>
      </c>
      <c r="EK26" s="241" t="str">
        <f t="shared" si="112"/>
        <v>סיום</v>
      </c>
      <c r="EL26" s="242">
        <f t="shared" si="113"/>
        <v>5.6935470745992103E-2</v>
      </c>
      <c r="EM26" s="240">
        <f t="shared" si="114"/>
        <v>0.99104519934491508</v>
      </c>
      <c r="EN26" s="84">
        <f t="shared" si="115"/>
        <v>0</v>
      </c>
      <c r="EO26" s="84">
        <f>IF(EN26="","",IF(OR(EN26=1,IF(ISNA(MATCH("מוגן",$I26:EN26,0)),FALSE,TRUE)),1,0))</f>
        <v>0</v>
      </c>
      <c r="EP26" s="241">
        <f>IF(EO26="","",IF(EO26=1,$C$4*$D26,EL26))</f>
        <v>5.6935470745992103E-2</v>
      </c>
      <c r="EQ26" s="241" t="str">
        <f t="shared" si="117"/>
        <v>סיום</v>
      </c>
      <c r="ER26" s="242">
        <f t="shared" si="118"/>
        <v>5.6935470745992103E-2</v>
      </c>
      <c r="ES26" s="240">
        <f t="shared" si="119"/>
        <v>0.99104519934491508</v>
      </c>
      <c r="ET26" s="84">
        <f t="shared" si="120"/>
        <v>0</v>
      </c>
      <c r="EU26" s="84">
        <f>IF(ET26="","",IF(OR(ET26=1,IF(ISNA(MATCH("מוגן",$I26:ET26,0)),FALSE,TRUE)),1,0))</f>
        <v>0</v>
      </c>
      <c r="EV26" s="241">
        <f>IF(EU26="","",IF(EU26=1,$C$4*$D26,ER26))</f>
        <v>5.6935470745992103E-2</v>
      </c>
      <c r="EW26" s="241" t="str">
        <f t="shared" si="122"/>
        <v>סיום</v>
      </c>
      <c r="EX26" s="242">
        <f t="shared" si="123"/>
        <v>5.6935470745992103E-2</v>
      </c>
      <c r="EY26" s="240">
        <f t="shared" si="124"/>
        <v>0.99104519934491508</v>
      </c>
      <c r="EZ26" s="84">
        <f t="shared" si="125"/>
        <v>0</v>
      </c>
      <c r="FA26" s="84">
        <f>IF(EZ26="","",IF(OR(EZ26=1,IF(ISNA(MATCH("מוגן",$I26:EZ26,0)),FALSE,TRUE)),1,0))</f>
        <v>0</v>
      </c>
      <c r="FB26" s="241">
        <f>IF(FA26="","",IF(FA26=1,$C$4*$D26,EX26))</f>
        <v>5.6935470745992103E-2</v>
      </c>
      <c r="FC26" s="241" t="str">
        <f t="shared" si="127"/>
        <v>סיום</v>
      </c>
      <c r="FD26" s="242">
        <f t="shared" si="128"/>
        <v>5.6935470745992103E-2</v>
      </c>
      <c r="FE26" s="240">
        <f t="shared" si="129"/>
        <v>0.99104519934491508</v>
      </c>
      <c r="FF26" s="84">
        <f t="shared" si="130"/>
        <v>0</v>
      </c>
      <c r="FG26" s="84">
        <f>IF(FF26="","",IF(OR(FF26=1,IF(ISNA(MATCH("מוגן",$I26:FF26,0)),FALSE,TRUE)),1,0))</f>
        <v>0</v>
      </c>
      <c r="FH26" s="241">
        <f>IF(FG26="","",IF(FG26=1,$C$4*$D26,FD26))</f>
        <v>5.6935470745992103E-2</v>
      </c>
      <c r="FI26" s="241" t="str">
        <f t="shared" si="132"/>
        <v>סיום</v>
      </c>
      <c r="FJ26" s="242">
        <f t="shared" si="133"/>
        <v>5.6935470745992103E-2</v>
      </c>
      <c r="FK26" s="240">
        <f t="shared" si="134"/>
        <v>0.99104519934491508</v>
      </c>
      <c r="FL26" s="84">
        <f t="shared" si="135"/>
        <v>0</v>
      </c>
      <c r="FM26" s="84">
        <f>IF(FL26="","",IF(OR(FL26=1,IF(ISNA(MATCH("מוגן",$I26:FL26,0)),FALSE,TRUE)),1,0))</f>
        <v>0</v>
      </c>
      <c r="FN26" s="241">
        <f>IF(FM26="","",IF(FM26=1,$C$4*$D26,FJ26))</f>
        <v>5.6935470745992103E-2</v>
      </c>
      <c r="FO26" s="241" t="str">
        <f t="shared" si="137"/>
        <v>סיום</v>
      </c>
      <c r="FP26" s="242">
        <f t="shared" si="138"/>
        <v>5.6935470745992103E-2</v>
      </c>
      <c r="FQ26" s="240">
        <f t="shared" si="139"/>
        <v>0.99104519934491508</v>
      </c>
      <c r="FR26" s="84">
        <f t="shared" si="140"/>
        <v>0</v>
      </c>
      <c r="FS26" s="84">
        <f>IF(FR26="","",IF(OR(FR26=1,IF(ISNA(MATCH("מוגן",$I26:FR26,0)),FALSE,TRUE)),1,0))</f>
        <v>0</v>
      </c>
      <c r="FT26" s="241">
        <f>IF(FS26="","",IF(FS26=1,$C$4*$D26,FP26))</f>
        <v>5.6935470745992103E-2</v>
      </c>
      <c r="FU26" s="241" t="str">
        <f t="shared" si="142"/>
        <v>סיום</v>
      </c>
      <c r="FV26" s="242">
        <f t="shared" si="143"/>
        <v>5.6935470745992103E-2</v>
      </c>
      <c r="FW26" s="240">
        <f t="shared" si="144"/>
        <v>0.99104519934491508</v>
      </c>
      <c r="FX26" s="84">
        <f t="shared" si="145"/>
        <v>0</v>
      </c>
      <c r="FY26" s="84">
        <f>IF(FX26="","",IF(OR(FX26=1,IF(ISNA(MATCH("מוגן",$I26:FX26,0)),FALSE,TRUE)),1,0))</f>
        <v>0</v>
      </c>
      <c r="FZ26" s="241">
        <f>IF(FY26="","",IF(FY26=1,$C$4*$D26,FV26))</f>
        <v>5.6935470745992103E-2</v>
      </c>
      <c r="GA26" s="241" t="str">
        <f t="shared" si="147"/>
        <v>סיום</v>
      </c>
      <c r="GB26" s="242">
        <f t="shared" si="148"/>
        <v>5.6935470745992103E-2</v>
      </c>
      <c r="GC26" s="240">
        <f t="shared" si="149"/>
        <v>0.99104519934491508</v>
      </c>
      <c r="GD26" s="84">
        <f t="shared" si="150"/>
        <v>0</v>
      </c>
      <c r="GE26" s="84">
        <f>IF(GD26="","",IF(OR(GD26=1,IF(ISNA(MATCH("מוגן",$I26:GD26,0)),FALSE,TRUE)),1,0))</f>
        <v>0</v>
      </c>
      <c r="GF26" s="241">
        <f t="shared" si="151"/>
        <v>5.6935470745992103E-2</v>
      </c>
      <c r="GG26" s="241" t="str">
        <f t="shared" si="152"/>
        <v>סיום</v>
      </c>
      <c r="GH26" s="242">
        <f t="shared" si="153"/>
        <v>5.6935470745992103E-2</v>
      </c>
      <c r="GI26" s="240">
        <f t="shared" si="154"/>
        <v>0.99104519934491508</v>
      </c>
      <c r="GJ26" s="84">
        <f t="shared" si="155"/>
        <v>0</v>
      </c>
      <c r="GK26" s="84">
        <f>IF(GJ26="","",IF(OR(GJ26=1,IF(ISNA(MATCH("מוגן",$I26:GJ26,0)),FALSE,TRUE)),1,0))</f>
        <v>0</v>
      </c>
      <c r="GL26" s="241">
        <f t="shared" si="156"/>
        <v>5.6935470745992103E-2</v>
      </c>
      <c r="GM26" s="241" t="str">
        <f t="shared" si="157"/>
        <v>סיום</v>
      </c>
      <c r="GN26" s="242">
        <f t="shared" si="158"/>
        <v>5.6935470745992103E-2</v>
      </c>
      <c r="GO26" s="240">
        <f t="shared" si="159"/>
        <v>0.99104519934491508</v>
      </c>
      <c r="GP26" s="84">
        <f t="shared" si="160"/>
        <v>0</v>
      </c>
      <c r="GQ26" s="84">
        <f>IF(GP26="","",IF(OR(GP26=1,IF(ISNA(MATCH("מוגן",$I26:GP26,0)),FALSE,TRUE)),1,0))</f>
        <v>0</v>
      </c>
      <c r="GR26" s="241">
        <f t="shared" si="161"/>
        <v>5.6935470745992103E-2</v>
      </c>
      <c r="GS26" s="241" t="str">
        <f t="shared" si="162"/>
        <v>סיום</v>
      </c>
      <c r="GT26" s="242">
        <f t="shared" si="163"/>
        <v>5.6935470745992103E-2</v>
      </c>
      <c r="GU26" s="240">
        <f t="shared" si="164"/>
        <v>0.99104519934491508</v>
      </c>
      <c r="GV26" s="84">
        <f t="shared" si="165"/>
        <v>0</v>
      </c>
      <c r="GW26" s="84">
        <f>IF(GV26="","",IF(OR(GV26=1,IF(ISNA(MATCH("מוגן",$I26:GV26,0)),FALSE,TRUE)),1,0))</f>
        <v>0</v>
      </c>
      <c r="GX26" s="241">
        <f t="shared" si="166"/>
        <v>5.6935470745992103E-2</v>
      </c>
      <c r="GY26" s="241" t="str">
        <f t="shared" si="167"/>
        <v>סיום</v>
      </c>
      <c r="GZ26" s="242">
        <f t="shared" si="168"/>
        <v>5.6935470745992103E-2</v>
      </c>
      <c r="HA26" s="119">
        <f t="shared" si="169"/>
        <v>5626477.9440924926</v>
      </c>
      <c r="HB26" s="246" t="str">
        <f>IF(AND(HD26=1,C26=1),"Prob.","OK")</f>
        <v>OK</v>
      </c>
      <c r="HC26" s="244">
        <f t="shared" si="171"/>
        <v>0.99104519934491508</v>
      </c>
      <c r="HD26" s="245">
        <f>IF(HC26="","",IF(HC26&lt;(1-$C$3),1,P26))</f>
        <v>5.6935470745992103E-2</v>
      </c>
      <c r="HE26" s="111">
        <f t="shared" si="173"/>
        <v>0</v>
      </c>
      <c r="HF26" s="111">
        <f t="shared" si="174"/>
        <v>1</v>
      </c>
      <c r="HG26" s="111" t="b">
        <f>OR(B26="",ISNA(MATCH(C26,{0,1},0)))</f>
        <v>0</v>
      </c>
    </row>
    <row r="27" spans="1:215">
      <c r="A27" s="120">
        <f>ייצוב!A23</f>
        <v>19</v>
      </c>
      <c r="B27" s="121" t="str">
        <f>ייצוב!B23</f>
        <v>ארצי לנוער</v>
      </c>
      <c r="C27" s="67"/>
      <c r="D27" s="240">
        <f>ייצוב!E23</f>
        <v>3.9048281660394389E-2</v>
      </c>
      <c r="E27" s="240">
        <f>ייצוב!G23</f>
        <v>3.9952941027218976E-2</v>
      </c>
      <c r="F27" s="240">
        <f t="shared" si="0"/>
        <v>1.0231677125946916</v>
      </c>
      <c r="G27" s="84">
        <f t="shared" si="1"/>
        <v>0</v>
      </c>
      <c r="H27" s="241">
        <f t="shared" si="2"/>
        <v>3.9952941027218976E-2</v>
      </c>
      <c r="I27" s="241">
        <f t="array" ref="I27">IF(H27="","",IF(G27=1,"מוגן",H27/SUMIF(G$9:G$41,"=0",H$9:H$41)))</f>
        <v>3.9952941027218976E-2</v>
      </c>
      <c r="J27" s="242">
        <f t="shared" si="3"/>
        <v>3.9952941027218976E-2</v>
      </c>
      <c r="K27" s="240">
        <f t="shared" si="4"/>
        <v>1.0231677125946916</v>
      </c>
      <c r="L27" s="84">
        <f t="shared" si="5"/>
        <v>0</v>
      </c>
      <c r="M27" s="84">
        <f>IF(L27="","",IF(OR(L27=1,IF(ISNA(MATCH("מוגן",$I27:L27,0)),FALSE,TRUE)),1,0))</f>
        <v>0</v>
      </c>
      <c r="N27" s="241">
        <f>IF(M27="","",IF(M27=1,$C$4*$D27,J27))</f>
        <v>3.9952941027218976E-2</v>
      </c>
      <c r="O27" s="241" t="str">
        <f t="shared" si="7"/>
        <v>סיום</v>
      </c>
      <c r="P27" s="242">
        <f t="shared" si="8"/>
        <v>3.9952941027218976E-2</v>
      </c>
      <c r="Q27" s="240">
        <f t="shared" si="9"/>
        <v>1.0231677125946916</v>
      </c>
      <c r="R27" s="84">
        <f t="shared" si="10"/>
        <v>0</v>
      </c>
      <c r="S27" s="84">
        <f>IF(R27="","",IF(OR(R27=1,IF(ISNA(MATCH("מוגן",$I27:R27,0)),FALSE,TRUE)),1,0))</f>
        <v>0</v>
      </c>
      <c r="T27" s="241">
        <f>IF(S27="","",IF(S27=1,$C$4*$D27,P27))</f>
        <v>3.9952941027218976E-2</v>
      </c>
      <c r="U27" s="241" t="str">
        <f t="shared" si="12"/>
        <v>סיום</v>
      </c>
      <c r="V27" s="242">
        <f t="shared" si="13"/>
        <v>3.9952941027218976E-2</v>
      </c>
      <c r="W27" s="240">
        <f t="shared" si="14"/>
        <v>1.0231677125946916</v>
      </c>
      <c r="X27" s="84">
        <f t="shared" si="15"/>
        <v>0</v>
      </c>
      <c r="Y27" s="84">
        <f>IF(X27="","",IF(OR(X27=1,IF(ISNA(MATCH("מוגן",$I27:X27,0)),FALSE,TRUE)),1,0))</f>
        <v>0</v>
      </c>
      <c r="Z27" s="241">
        <f>IF(Y27="","",IF(Y27=1,$C$4*$D27,V27))</f>
        <v>3.9952941027218976E-2</v>
      </c>
      <c r="AA27" s="241" t="str">
        <f t="shared" si="17"/>
        <v>סיום</v>
      </c>
      <c r="AB27" s="242">
        <f t="shared" si="18"/>
        <v>3.9952941027218976E-2</v>
      </c>
      <c r="AC27" s="240">
        <f t="shared" si="19"/>
        <v>1.0231677125946916</v>
      </c>
      <c r="AD27" s="84">
        <f t="shared" si="20"/>
        <v>0</v>
      </c>
      <c r="AE27" s="84">
        <f>IF(AD27="","",IF(OR(AD27=1,IF(ISNA(MATCH("מוגן",$I27:AD27,0)),FALSE,TRUE)),1,0))</f>
        <v>0</v>
      </c>
      <c r="AF27" s="241">
        <f>IF(AE27="","",IF(AE27=1,$C$4*$D27,AB27))</f>
        <v>3.9952941027218976E-2</v>
      </c>
      <c r="AG27" s="241" t="str">
        <f t="shared" si="22"/>
        <v>סיום</v>
      </c>
      <c r="AH27" s="242">
        <f t="shared" si="23"/>
        <v>3.9952941027218976E-2</v>
      </c>
      <c r="AI27" s="240">
        <f t="shared" si="24"/>
        <v>1.0231677125946916</v>
      </c>
      <c r="AJ27" s="84">
        <f t="shared" si="25"/>
        <v>0</v>
      </c>
      <c r="AK27" s="84">
        <f>IF(AJ27="","",IF(OR(AJ27=1,IF(ISNA(MATCH("מוגן",$I27:AJ27,0)),FALSE,TRUE)),1,0))</f>
        <v>0</v>
      </c>
      <c r="AL27" s="241">
        <f>IF(AK27="","",IF(AK27=1,$C$4*$D27,AH27))</f>
        <v>3.9952941027218976E-2</v>
      </c>
      <c r="AM27" s="241" t="str">
        <f t="shared" si="27"/>
        <v>סיום</v>
      </c>
      <c r="AN27" s="242">
        <f t="shared" si="28"/>
        <v>3.9952941027218976E-2</v>
      </c>
      <c r="AO27" s="240">
        <f t="shared" si="29"/>
        <v>1.0231677125946916</v>
      </c>
      <c r="AP27" s="84">
        <f t="shared" si="30"/>
        <v>0</v>
      </c>
      <c r="AQ27" s="84">
        <f>IF(AP27="","",IF(OR(AP27=1,IF(ISNA(MATCH("מוגן",$I27:AP27,0)),FALSE,TRUE)),1,0))</f>
        <v>0</v>
      </c>
      <c r="AR27" s="241">
        <f>IF(AQ27="","",IF(AQ27=1,$C$4*$D27,AN27))</f>
        <v>3.9952941027218976E-2</v>
      </c>
      <c r="AS27" s="241" t="str">
        <f t="shared" si="32"/>
        <v>סיום</v>
      </c>
      <c r="AT27" s="242">
        <f t="shared" si="33"/>
        <v>3.9952941027218976E-2</v>
      </c>
      <c r="AU27" s="240">
        <f t="shared" si="34"/>
        <v>1.0231677125946916</v>
      </c>
      <c r="AV27" s="84">
        <f t="shared" si="35"/>
        <v>0</v>
      </c>
      <c r="AW27" s="84">
        <f>IF(AV27="","",IF(OR(AV27=1,IF(ISNA(MATCH("מוגן",$I27:AV27,0)),FALSE,TRUE)),1,0))</f>
        <v>0</v>
      </c>
      <c r="AX27" s="241">
        <f>IF(AW27="","",IF(AW27=1,$C$4*$D27,AT27))</f>
        <v>3.9952941027218976E-2</v>
      </c>
      <c r="AY27" s="241" t="str">
        <f t="shared" si="37"/>
        <v>סיום</v>
      </c>
      <c r="AZ27" s="242">
        <f t="shared" si="38"/>
        <v>3.9952941027218976E-2</v>
      </c>
      <c r="BA27" s="240">
        <f t="shared" si="39"/>
        <v>1.0231677125946916</v>
      </c>
      <c r="BB27" s="84">
        <f t="shared" si="40"/>
        <v>0</v>
      </c>
      <c r="BC27" s="84">
        <f>IF(BB27="","",IF(OR(BB27=1,IF(ISNA(MATCH("מוגן",$I27:BB27,0)),FALSE,TRUE)),1,0))</f>
        <v>0</v>
      </c>
      <c r="BD27" s="241">
        <f>IF(BC27="","",IF(BC27=1,$C$4*$D27,AZ27))</f>
        <v>3.9952941027218976E-2</v>
      </c>
      <c r="BE27" s="241" t="str">
        <f t="shared" si="42"/>
        <v>סיום</v>
      </c>
      <c r="BF27" s="242">
        <f t="shared" si="43"/>
        <v>3.9952941027218976E-2</v>
      </c>
      <c r="BG27" s="240">
        <f t="shared" si="44"/>
        <v>1.0231677125946916</v>
      </c>
      <c r="BH27" s="84">
        <f t="shared" si="45"/>
        <v>0</v>
      </c>
      <c r="BI27" s="84">
        <f>IF(BH27="","",IF(OR(BH27=1,IF(ISNA(MATCH("מוגן",$I27:BH27,0)),FALSE,TRUE)),1,0))</f>
        <v>0</v>
      </c>
      <c r="BJ27" s="241">
        <f>IF(BI27="","",IF(BI27=1,$C$4*$D27,BF27))</f>
        <v>3.9952941027218976E-2</v>
      </c>
      <c r="BK27" s="241" t="str">
        <f t="shared" si="47"/>
        <v>סיום</v>
      </c>
      <c r="BL27" s="242">
        <f t="shared" si="48"/>
        <v>3.9952941027218976E-2</v>
      </c>
      <c r="BM27" s="240">
        <f t="shared" si="49"/>
        <v>1.0231677125946916</v>
      </c>
      <c r="BN27" s="84">
        <f t="shared" si="50"/>
        <v>0</v>
      </c>
      <c r="BO27" s="84">
        <f>IF(BN27="","",IF(OR(BN27=1,IF(ISNA(MATCH("מוגן",$I27:BN27,0)),FALSE,TRUE)),1,0))</f>
        <v>0</v>
      </c>
      <c r="BP27" s="241">
        <f>IF(BO27="","",IF(BO27=1,$C$4*$D27,BL27))</f>
        <v>3.9952941027218976E-2</v>
      </c>
      <c r="BQ27" s="241" t="str">
        <f t="shared" si="52"/>
        <v>סיום</v>
      </c>
      <c r="BR27" s="242">
        <f t="shared" si="53"/>
        <v>3.9952941027218976E-2</v>
      </c>
      <c r="BS27" s="240">
        <f t="shared" si="54"/>
        <v>1.0231677125946916</v>
      </c>
      <c r="BT27" s="84">
        <f t="shared" si="55"/>
        <v>0</v>
      </c>
      <c r="BU27" s="84">
        <f>IF(BT27="","",IF(OR(BT27=1,IF(ISNA(MATCH("מוגן",$I27:BT27,0)),FALSE,TRUE)),1,0))</f>
        <v>0</v>
      </c>
      <c r="BV27" s="241">
        <f>IF(BU27="","",IF(BU27=1,$C$4*$D27,BR27))</f>
        <v>3.9952941027218976E-2</v>
      </c>
      <c r="BW27" s="241" t="str">
        <f t="shared" si="57"/>
        <v>סיום</v>
      </c>
      <c r="BX27" s="242">
        <f t="shared" si="58"/>
        <v>3.9952941027218976E-2</v>
      </c>
      <c r="BY27" s="240">
        <f t="shared" si="59"/>
        <v>1.0231677125946916</v>
      </c>
      <c r="BZ27" s="84">
        <f t="shared" si="60"/>
        <v>0</v>
      </c>
      <c r="CA27" s="84">
        <f>IF(BZ27="","",IF(OR(BZ27=1,IF(ISNA(MATCH("מוגן",$I27:BZ27,0)),FALSE,TRUE)),1,0))</f>
        <v>0</v>
      </c>
      <c r="CB27" s="241">
        <f>IF(CA27="","",IF(CA27=1,$C$4*$D27,BX27))</f>
        <v>3.9952941027218976E-2</v>
      </c>
      <c r="CC27" s="241" t="str">
        <f t="shared" si="62"/>
        <v>סיום</v>
      </c>
      <c r="CD27" s="242">
        <f t="shared" si="63"/>
        <v>3.9952941027218976E-2</v>
      </c>
      <c r="CE27" s="240">
        <f t="shared" si="64"/>
        <v>1.0231677125946916</v>
      </c>
      <c r="CF27" s="84">
        <f t="shared" si="65"/>
        <v>0</v>
      </c>
      <c r="CG27" s="84">
        <f>IF(CF27="","",IF(OR(CF27=1,IF(ISNA(MATCH("מוגן",$I27:CF27,0)),FALSE,TRUE)),1,0))</f>
        <v>0</v>
      </c>
      <c r="CH27" s="241">
        <f>IF(CG27="","",IF(CG27=1,$C$4*$D27,CD27))</f>
        <v>3.9952941027218976E-2</v>
      </c>
      <c r="CI27" s="241" t="str">
        <f t="shared" si="67"/>
        <v>סיום</v>
      </c>
      <c r="CJ27" s="242">
        <f t="shared" si="68"/>
        <v>3.9952941027218976E-2</v>
      </c>
      <c r="CK27" s="240">
        <f t="shared" si="69"/>
        <v>1.0231677125946916</v>
      </c>
      <c r="CL27" s="84">
        <f t="shared" si="70"/>
        <v>0</v>
      </c>
      <c r="CM27" s="84">
        <f>IF(CL27="","",IF(OR(CL27=1,IF(ISNA(MATCH("מוגן",$I27:CL27,0)),FALSE,TRUE)),1,0))</f>
        <v>0</v>
      </c>
      <c r="CN27" s="241">
        <f>IF(CM27="","",IF(CM27=1,$C$4*$D27,CJ27))</f>
        <v>3.9952941027218976E-2</v>
      </c>
      <c r="CO27" s="241" t="str">
        <f t="shared" si="72"/>
        <v>סיום</v>
      </c>
      <c r="CP27" s="242">
        <f t="shared" si="73"/>
        <v>3.9952941027218976E-2</v>
      </c>
      <c r="CQ27" s="240">
        <f t="shared" si="74"/>
        <v>1.0231677125946916</v>
      </c>
      <c r="CR27" s="84">
        <f t="shared" si="75"/>
        <v>0</v>
      </c>
      <c r="CS27" s="84">
        <f>IF(CR27="","",IF(OR(CR27=1,IF(ISNA(MATCH("מוגן",$I27:CR27,0)),FALSE,TRUE)),1,0))</f>
        <v>0</v>
      </c>
      <c r="CT27" s="241">
        <f>IF(CS27="","",IF(CS27=1,$C$4*$D27,CP27))</f>
        <v>3.9952941027218976E-2</v>
      </c>
      <c r="CU27" s="241" t="str">
        <f t="shared" si="77"/>
        <v>סיום</v>
      </c>
      <c r="CV27" s="242">
        <f t="shared" si="78"/>
        <v>3.9952941027218976E-2</v>
      </c>
      <c r="CW27" s="240">
        <f t="shared" si="79"/>
        <v>1.0231677125946916</v>
      </c>
      <c r="CX27" s="84">
        <f t="shared" si="80"/>
        <v>0</v>
      </c>
      <c r="CY27" s="84">
        <f>IF(CX27="","",IF(OR(CX27=1,IF(ISNA(MATCH("מוגן",$I27:CX27,0)),FALSE,TRUE)),1,0))</f>
        <v>0</v>
      </c>
      <c r="CZ27" s="241">
        <f>IF(CY27="","",IF(CY27=1,$C$4*$D27,CV27))</f>
        <v>3.9952941027218976E-2</v>
      </c>
      <c r="DA27" s="241" t="str">
        <f t="shared" si="82"/>
        <v>סיום</v>
      </c>
      <c r="DB27" s="242">
        <f t="shared" si="83"/>
        <v>3.9952941027218976E-2</v>
      </c>
      <c r="DC27" s="240">
        <f t="shared" si="84"/>
        <v>1.0231677125946916</v>
      </c>
      <c r="DD27" s="84">
        <f t="shared" si="85"/>
        <v>0</v>
      </c>
      <c r="DE27" s="84">
        <f>IF(DD27="","",IF(OR(DD27=1,IF(ISNA(MATCH("מוגן",$I27:DD27,0)),FALSE,TRUE)),1,0))</f>
        <v>0</v>
      </c>
      <c r="DF27" s="241">
        <f>IF(DE27="","",IF(DE27=1,$C$4*$D27,DB27))</f>
        <v>3.9952941027218976E-2</v>
      </c>
      <c r="DG27" s="241" t="str">
        <f t="shared" si="87"/>
        <v>סיום</v>
      </c>
      <c r="DH27" s="242">
        <f t="shared" si="88"/>
        <v>3.9952941027218976E-2</v>
      </c>
      <c r="DI27" s="240">
        <f t="shared" si="89"/>
        <v>1.0231677125946916</v>
      </c>
      <c r="DJ27" s="84">
        <f t="shared" si="90"/>
        <v>0</v>
      </c>
      <c r="DK27" s="84">
        <f>IF(DJ27="","",IF(OR(DJ27=1,IF(ISNA(MATCH("מוגן",$I27:DJ27,0)),FALSE,TRUE)),1,0))</f>
        <v>0</v>
      </c>
      <c r="DL27" s="241">
        <f>IF(DK27="","",IF(DK27=1,$C$4*$D27,DH27))</f>
        <v>3.9952941027218976E-2</v>
      </c>
      <c r="DM27" s="241" t="str">
        <f t="shared" si="92"/>
        <v>סיום</v>
      </c>
      <c r="DN27" s="242">
        <f t="shared" si="93"/>
        <v>3.9952941027218976E-2</v>
      </c>
      <c r="DO27" s="240">
        <f t="shared" si="94"/>
        <v>1.0231677125946916</v>
      </c>
      <c r="DP27" s="84">
        <f t="shared" si="95"/>
        <v>0</v>
      </c>
      <c r="DQ27" s="84">
        <f>IF(DP27="","",IF(OR(DP27=1,IF(ISNA(MATCH("מוגן",$I27:DP27,0)),FALSE,TRUE)),1,0))</f>
        <v>0</v>
      </c>
      <c r="DR27" s="241">
        <f>IF(DQ27="","",IF(DQ27=1,$C$4*$D27,DN27))</f>
        <v>3.9952941027218976E-2</v>
      </c>
      <c r="DS27" s="241" t="str">
        <f t="shared" si="97"/>
        <v>סיום</v>
      </c>
      <c r="DT27" s="242">
        <f t="shared" si="98"/>
        <v>3.9952941027218976E-2</v>
      </c>
      <c r="DU27" s="240">
        <f t="shared" si="99"/>
        <v>1.0231677125946916</v>
      </c>
      <c r="DV27" s="84">
        <f t="shared" si="100"/>
        <v>0</v>
      </c>
      <c r="DW27" s="84">
        <f>IF(DV27="","",IF(OR(DV27=1,IF(ISNA(MATCH("מוגן",$I27:DV27,0)),FALSE,TRUE)),1,0))</f>
        <v>0</v>
      </c>
      <c r="DX27" s="241">
        <f>IF(DW27="","",IF(DW27=1,$C$4*$D27,DT27))</f>
        <v>3.9952941027218976E-2</v>
      </c>
      <c r="DY27" s="241" t="str">
        <f t="shared" si="102"/>
        <v>סיום</v>
      </c>
      <c r="DZ27" s="242">
        <f t="shared" si="103"/>
        <v>3.9952941027218976E-2</v>
      </c>
      <c r="EA27" s="240">
        <f t="shared" si="104"/>
        <v>1.0231677125946916</v>
      </c>
      <c r="EB27" s="84">
        <f t="shared" si="105"/>
        <v>0</v>
      </c>
      <c r="EC27" s="84">
        <f>IF(EB27="","",IF(OR(EB27=1,IF(ISNA(MATCH("מוגן",$I27:EB27,0)),FALSE,TRUE)),1,0))</f>
        <v>0</v>
      </c>
      <c r="ED27" s="241">
        <f>IF(EC27="","",IF(EC27=1,$C$4*$D27,DZ27))</f>
        <v>3.9952941027218976E-2</v>
      </c>
      <c r="EE27" s="241" t="str">
        <f t="shared" si="107"/>
        <v>סיום</v>
      </c>
      <c r="EF27" s="242">
        <f t="shared" si="108"/>
        <v>3.9952941027218976E-2</v>
      </c>
      <c r="EG27" s="240">
        <f t="shared" si="109"/>
        <v>1.0231677125946916</v>
      </c>
      <c r="EH27" s="84">
        <f t="shared" si="110"/>
        <v>0</v>
      </c>
      <c r="EI27" s="84">
        <f>IF(EH27="","",IF(OR(EH27=1,IF(ISNA(MATCH("מוגן",$I27:EH27,0)),FALSE,TRUE)),1,0))</f>
        <v>0</v>
      </c>
      <c r="EJ27" s="241">
        <f>IF(EI27="","",IF(EI27=1,$C$4*$D27,EF27))</f>
        <v>3.9952941027218976E-2</v>
      </c>
      <c r="EK27" s="241" t="str">
        <f t="shared" si="112"/>
        <v>סיום</v>
      </c>
      <c r="EL27" s="242">
        <f t="shared" si="113"/>
        <v>3.9952941027218976E-2</v>
      </c>
      <c r="EM27" s="240">
        <f t="shared" si="114"/>
        <v>1.0231677125946916</v>
      </c>
      <c r="EN27" s="84">
        <f t="shared" si="115"/>
        <v>0</v>
      </c>
      <c r="EO27" s="84">
        <f>IF(EN27="","",IF(OR(EN27=1,IF(ISNA(MATCH("מוגן",$I27:EN27,0)),FALSE,TRUE)),1,0))</f>
        <v>0</v>
      </c>
      <c r="EP27" s="241">
        <f>IF(EO27="","",IF(EO27=1,$C$4*$D27,EL27))</f>
        <v>3.9952941027218976E-2</v>
      </c>
      <c r="EQ27" s="241" t="str">
        <f t="shared" si="117"/>
        <v>סיום</v>
      </c>
      <c r="ER27" s="242">
        <f t="shared" si="118"/>
        <v>3.9952941027218976E-2</v>
      </c>
      <c r="ES27" s="240">
        <f t="shared" si="119"/>
        <v>1.0231677125946916</v>
      </c>
      <c r="ET27" s="84">
        <f t="shared" si="120"/>
        <v>0</v>
      </c>
      <c r="EU27" s="84">
        <f>IF(ET27="","",IF(OR(ET27=1,IF(ISNA(MATCH("מוגן",$I27:ET27,0)),FALSE,TRUE)),1,0))</f>
        <v>0</v>
      </c>
      <c r="EV27" s="241">
        <f>IF(EU27="","",IF(EU27=1,$C$4*$D27,ER27))</f>
        <v>3.9952941027218976E-2</v>
      </c>
      <c r="EW27" s="241" t="str">
        <f t="shared" si="122"/>
        <v>סיום</v>
      </c>
      <c r="EX27" s="242">
        <f t="shared" si="123"/>
        <v>3.9952941027218976E-2</v>
      </c>
      <c r="EY27" s="240">
        <f t="shared" si="124"/>
        <v>1.0231677125946916</v>
      </c>
      <c r="EZ27" s="84">
        <f t="shared" si="125"/>
        <v>0</v>
      </c>
      <c r="FA27" s="84">
        <f>IF(EZ27="","",IF(OR(EZ27=1,IF(ISNA(MATCH("מוגן",$I27:EZ27,0)),FALSE,TRUE)),1,0))</f>
        <v>0</v>
      </c>
      <c r="FB27" s="241">
        <f>IF(FA27="","",IF(FA27=1,$C$4*$D27,EX27))</f>
        <v>3.9952941027218976E-2</v>
      </c>
      <c r="FC27" s="241" t="str">
        <f t="shared" si="127"/>
        <v>סיום</v>
      </c>
      <c r="FD27" s="242">
        <f t="shared" si="128"/>
        <v>3.9952941027218976E-2</v>
      </c>
      <c r="FE27" s="240">
        <f t="shared" si="129"/>
        <v>1.0231677125946916</v>
      </c>
      <c r="FF27" s="84">
        <f t="shared" si="130"/>
        <v>0</v>
      </c>
      <c r="FG27" s="84">
        <f>IF(FF27="","",IF(OR(FF27=1,IF(ISNA(MATCH("מוגן",$I27:FF27,0)),FALSE,TRUE)),1,0))</f>
        <v>0</v>
      </c>
      <c r="FH27" s="241">
        <f>IF(FG27="","",IF(FG27=1,$C$4*$D27,FD27))</f>
        <v>3.9952941027218976E-2</v>
      </c>
      <c r="FI27" s="241" t="str">
        <f t="shared" si="132"/>
        <v>סיום</v>
      </c>
      <c r="FJ27" s="242">
        <f t="shared" si="133"/>
        <v>3.9952941027218976E-2</v>
      </c>
      <c r="FK27" s="240">
        <f t="shared" si="134"/>
        <v>1.0231677125946916</v>
      </c>
      <c r="FL27" s="84">
        <f t="shared" si="135"/>
        <v>0</v>
      </c>
      <c r="FM27" s="84">
        <f>IF(FL27="","",IF(OR(FL27=1,IF(ISNA(MATCH("מוגן",$I27:FL27,0)),FALSE,TRUE)),1,0))</f>
        <v>0</v>
      </c>
      <c r="FN27" s="241">
        <f>IF(FM27="","",IF(FM27=1,$C$4*$D27,FJ27))</f>
        <v>3.9952941027218976E-2</v>
      </c>
      <c r="FO27" s="241" t="str">
        <f t="shared" si="137"/>
        <v>סיום</v>
      </c>
      <c r="FP27" s="242">
        <f t="shared" si="138"/>
        <v>3.9952941027218976E-2</v>
      </c>
      <c r="FQ27" s="240">
        <f t="shared" si="139"/>
        <v>1.0231677125946916</v>
      </c>
      <c r="FR27" s="84">
        <f t="shared" si="140"/>
        <v>0</v>
      </c>
      <c r="FS27" s="84">
        <f>IF(FR27="","",IF(OR(FR27=1,IF(ISNA(MATCH("מוגן",$I27:FR27,0)),FALSE,TRUE)),1,0))</f>
        <v>0</v>
      </c>
      <c r="FT27" s="241">
        <f>IF(FS27="","",IF(FS27=1,$C$4*$D27,FP27))</f>
        <v>3.9952941027218976E-2</v>
      </c>
      <c r="FU27" s="241" t="str">
        <f t="shared" si="142"/>
        <v>סיום</v>
      </c>
      <c r="FV27" s="242">
        <f t="shared" si="143"/>
        <v>3.9952941027218976E-2</v>
      </c>
      <c r="FW27" s="240">
        <f t="shared" si="144"/>
        <v>1.0231677125946916</v>
      </c>
      <c r="FX27" s="84">
        <f t="shared" si="145"/>
        <v>0</v>
      </c>
      <c r="FY27" s="84">
        <f>IF(FX27="","",IF(OR(FX27=1,IF(ISNA(MATCH("מוגן",$I27:FX27,0)),FALSE,TRUE)),1,0))</f>
        <v>0</v>
      </c>
      <c r="FZ27" s="241">
        <f>IF(FY27="","",IF(FY27=1,$C$4*$D27,FV27))</f>
        <v>3.9952941027218976E-2</v>
      </c>
      <c r="GA27" s="241" t="str">
        <f t="shared" si="147"/>
        <v>סיום</v>
      </c>
      <c r="GB27" s="242">
        <f t="shared" si="148"/>
        <v>3.9952941027218976E-2</v>
      </c>
      <c r="GC27" s="240">
        <f t="shared" si="149"/>
        <v>1.0231677125946916</v>
      </c>
      <c r="GD27" s="84">
        <f t="shared" si="150"/>
        <v>0</v>
      </c>
      <c r="GE27" s="84">
        <f>IF(GD27="","",IF(OR(GD27=1,IF(ISNA(MATCH("מוגן",$I27:GD27,0)),FALSE,TRUE)),1,0))</f>
        <v>0</v>
      </c>
      <c r="GF27" s="241">
        <f t="shared" si="151"/>
        <v>3.9952941027218976E-2</v>
      </c>
      <c r="GG27" s="241" t="str">
        <f t="shared" si="152"/>
        <v>סיום</v>
      </c>
      <c r="GH27" s="242">
        <f t="shared" si="153"/>
        <v>3.9952941027218976E-2</v>
      </c>
      <c r="GI27" s="240">
        <f t="shared" si="154"/>
        <v>1.0231677125946916</v>
      </c>
      <c r="GJ27" s="84">
        <f t="shared" si="155"/>
        <v>0</v>
      </c>
      <c r="GK27" s="84">
        <f>IF(GJ27="","",IF(OR(GJ27=1,IF(ISNA(MATCH("מוגן",$I27:GJ27,0)),FALSE,TRUE)),1,0))</f>
        <v>0</v>
      </c>
      <c r="GL27" s="241">
        <f t="shared" si="156"/>
        <v>3.9952941027218976E-2</v>
      </c>
      <c r="GM27" s="241" t="str">
        <f t="shared" si="157"/>
        <v>סיום</v>
      </c>
      <c r="GN27" s="242">
        <f t="shared" si="158"/>
        <v>3.9952941027218976E-2</v>
      </c>
      <c r="GO27" s="240">
        <f t="shared" si="159"/>
        <v>1.0231677125946916</v>
      </c>
      <c r="GP27" s="84">
        <f t="shared" si="160"/>
        <v>0</v>
      </c>
      <c r="GQ27" s="84">
        <f>IF(GP27="","",IF(OR(GP27=1,IF(ISNA(MATCH("מוגן",$I27:GP27,0)),FALSE,TRUE)),1,0))</f>
        <v>0</v>
      </c>
      <c r="GR27" s="241">
        <f t="shared" si="161"/>
        <v>3.9952941027218976E-2</v>
      </c>
      <c r="GS27" s="241" t="str">
        <f t="shared" si="162"/>
        <v>סיום</v>
      </c>
      <c r="GT27" s="242">
        <f t="shared" si="163"/>
        <v>3.9952941027218976E-2</v>
      </c>
      <c r="GU27" s="240">
        <f t="shared" si="164"/>
        <v>1.0231677125946916</v>
      </c>
      <c r="GV27" s="84">
        <f t="shared" si="165"/>
        <v>0</v>
      </c>
      <c r="GW27" s="84">
        <f>IF(GV27="","",IF(OR(GV27=1,IF(ISNA(MATCH("מוגן",$I27:GV27,0)),FALSE,TRUE)),1,0))</f>
        <v>0</v>
      </c>
      <c r="GX27" s="241">
        <f t="shared" si="166"/>
        <v>3.9952941027218976E-2</v>
      </c>
      <c r="GY27" s="241" t="str">
        <f t="shared" si="167"/>
        <v>סיום</v>
      </c>
      <c r="GZ27" s="242">
        <f t="shared" si="168"/>
        <v>3.9952941027218976E-2</v>
      </c>
      <c r="HA27" s="119">
        <f t="shared" si="169"/>
        <v>3948230.1374859489</v>
      </c>
      <c r="HB27" s="246" t="str">
        <f>IF(AND(HD27=1,C27=1),"Prob.","OK")</f>
        <v>OK</v>
      </c>
      <c r="HC27" s="244">
        <f t="shared" si="171"/>
        <v>1.0231677125946916</v>
      </c>
      <c r="HD27" s="245">
        <f>IF(HC27="","",IF(HC27&lt;(1-$C$3),1,P27))</f>
        <v>3.9952941027218976E-2</v>
      </c>
      <c r="HE27" s="111">
        <f t="shared" si="173"/>
        <v>0</v>
      </c>
      <c r="HF27" s="111">
        <f t="shared" si="174"/>
        <v>1</v>
      </c>
      <c r="HG27" s="111" t="b">
        <f>OR(B27="",ISNA(MATCH(C27,{0,1},0)))</f>
        <v>0</v>
      </c>
    </row>
    <row r="28" spans="1:215">
      <c r="A28" s="120">
        <f>ייצוב!A24</f>
        <v>20</v>
      </c>
      <c r="B28" s="121" t="str">
        <f>ייצוב!B24</f>
        <v>הקיבוץ</v>
      </c>
      <c r="C28" s="67"/>
      <c r="D28" s="240">
        <f>ייצוב!E24</f>
        <v>7.0285969375713528E-3</v>
      </c>
      <c r="E28" s="240">
        <f>ייצוב!G24</f>
        <v>6.7707524597744751E-3</v>
      </c>
      <c r="F28" s="240">
        <f t="shared" si="0"/>
        <v>0.96331494321169986</v>
      </c>
      <c r="G28" s="84">
        <f t="shared" si="1"/>
        <v>0</v>
      </c>
      <c r="H28" s="241">
        <f t="shared" si="2"/>
        <v>6.7707524597744751E-3</v>
      </c>
      <c r="I28" s="241">
        <f t="array" ref="I28">IF(H28="","",IF(G28=1,"מוגן",H28/SUMIF(G$9:G$41,"=0",H$9:H$41)))</f>
        <v>6.7707524597744751E-3</v>
      </c>
      <c r="J28" s="242">
        <f t="shared" si="3"/>
        <v>6.7707524597744751E-3</v>
      </c>
      <c r="K28" s="240">
        <f t="shared" si="4"/>
        <v>0.96331494321169986</v>
      </c>
      <c r="L28" s="84">
        <f t="shared" si="5"/>
        <v>0</v>
      </c>
      <c r="M28" s="84">
        <f>IF(L28="","",IF(OR(L28=1,IF(ISNA(MATCH("מוגן",$I28:L28,0)),FALSE,TRUE)),1,0))</f>
        <v>0</v>
      </c>
      <c r="N28" s="241">
        <f t="shared" si="6"/>
        <v>6.7707524597744751E-3</v>
      </c>
      <c r="O28" s="241" t="str">
        <f t="shared" si="7"/>
        <v>סיום</v>
      </c>
      <c r="P28" s="242">
        <f t="shared" si="8"/>
        <v>6.7707524597744751E-3</v>
      </c>
      <c r="Q28" s="240">
        <f t="shared" si="9"/>
        <v>0.96331494321169986</v>
      </c>
      <c r="R28" s="84">
        <f t="shared" si="10"/>
        <v>0</v>
      </c>
      <c r="S28" s="84">
        <f>IF(R28="","",IF(OR(R28=1,IF(ISNA(MATCH("מוגן",$I28:R28,0)),FALSE,TRUE)),1,0))</f>
        <v>0</v>
      </c>
      <c r="T28" s="241">
        <f t="shared" si="11"/>
        <v>6.7707524597744751E-3</v>
      </c>
      <c r="U28" s="241" t="str">
        <f t="shared" si="12"/>
        <v>סיום</v>
      </c>
      <c r="V28" s="242">
        <f t="shared" si="13"/>
        <v>6.7707524597744751E-3</v>
      </c>
      <c r="W28" s="240">
        <f t="shared" si="14"/>
        <v>0.96331494321169986</v>
      </c>
      <c r="X28" s="84">
        <f t="shared" si="15"/>
        <v>0</v>
      </c>
      <c r="Y28" s="84">
        <f>IF(X28="","",IF(OR(X28=1,IF(ISNA(MATCH("מוגן",$I28:X28,0)),FALSE,TRUE)),1,0))</f>
        <v>0</v>
      </c>
      <c r="Z28" s="241">
        <f t="shared" si="16"/>
        <v>6.7707524597744751E-3</v>
      </c>
      <c r="AA28" s="241" t="str">
        <f t="shared" si="17"/>
        <v>סיום</v>
      </c>
      <c r="AB28" s="242">
        <f t="shared" si="18"/>
        <v>6.7707524597744751E-3</v>
      </c>
      <c r="AC28" s="240">
        <f t="shared" si="19"/>
        <v>0.96331494321169986</v>
      </c>
      <c r="AD28" s="84">
        <f t="shared" si="20"/>
        <v>0</v>
      </c>
      <c r="AE28" s="84">
        <f>IF(AD28="","",IF(OR(AD28=1,IF(ISNA(MATCH("מוגן",$I28:AD28,0)),FALSE,TRUE)),1,0))</f>
        <v>0</v>
      </c>
      <c r="AF28" s="241">
        <f t="shared" si="21"/>
        <v>6.7707524597744751E-3</v>
      </c>
      <c r="AG28" s="241" t="str">
        <f t="shared" si="22"/>
        <v>סיום</v>
      </c>
      <c r="AH28" s="242">
        <f t="shared" si="23"/>
        <v>6.7707524597744751E-3</v>
      </c>
      <c r="AI28" s="240">
        <f t="shared" si="24"/>
        <v>0.96331494321169986</v>
      </c>
      <c r="AJ28" s="84">
        <f t="shared" si="25"/>
        <v>0</v>
      </c>
      <c r="AK28" s="84">
        <f>IF(AJ28="","",IF(OR(AJ28=1,IF(ISNA(MATCH("מוגן",$I28:AJ28,0)),FALSE,TRUE)),1,0))</f>
        <v>0</v>
      </c>
      <c r="AL28" s="241">
        <f t="shared" si="26"/>
        <v>6.7707524597744751E-3</v>
      </c>
      <c r="AM28" s="241" t="str">
        <f t="shared" si="27"/>
        <v>סיום</v>
      </c>
      <c r="AN28" s="242">
        <f t="shared" si="28"/>
        <v>6.7707524597744751E-3</v>
      </c>
      <c r="AO28" s="240">
        <f t="shared" si="29"/>
        <v>0.96331494321169986</v>
      </c>
      <c r="AP28" s="84">
        <f t="shared" si="30"/>
        <v>0</v>
      </c>
      <c r="AQ28" s="84">
        <f>IF(AP28="","",IF(OR(AP28=1,IF(ISNA(MATCH("מוגן",$I28:AP28,0)),FALSE,TRUE)),1,0))</f>
        <v>0</v>
      </c>
      <c r="AR28" s="241">
        <f t="shared" si="31"/>
        <v>6.7707524597744751E-3</v>
      </c>
      <c r="AS28" s="241" t="str">
        <f t="shared" si="32"/>
        <v>סיום</v>
      </c>
      <c r="AT28" s="242">
        <f t="shared" si="33"/>
        <v>6.7707524597744751E-3</v>
      </c>
      <c r="AU28" s="240">
        <f t="shared" si="34"/>
        <v>0.96331494321169986</v>
      </c>
      <c r="AV28" s="84">
        <f t="shared" si="35"/>
        <v>0</v>
      </c>
      <c r="AW28" s="84">
        <f>IF(AV28="","",IF(OR(AV28=1,IF(ISNA(MATCH("מוגן",$I28:AV28,0)),FALSE,TRUE)),1,0))</f>
        <v>0</v>
      </c>
      <c r="AX28" s="241">
        <f t="shared" si="36"/>
        <v>6.7707524597744751E-3</v>
      </c>
      <c r="AY28" s="241" t="str">
        <f t="shared" si="37"/>
        <v>סיום</v>
      </c>
      <c r="AZ28" s="242">
        <f t="shared" si="38"/>
        <v>6.7707524597744751E-3</v>
      </c>
      <c r="BA28" s="240">
        <f t="shared" si="39"/>
        <v>0.96331494321169986</v>
      </c>
      <c r="BB28" s="84">
        <f t="shared" si="40"/>
        <v>0</v>
      </c>
      <c r="BC28" s="84">
        <f>IF(BB28="","",IF(OR(BB28=1,IF(ISNA(MATCH("מוגן",$I28:BB28,0)),FALSE,TRUE)),1,0))</f>
        <v>0</v>
      </c>
      <c r="BD28" s="241">
        <f t="shared" si="41"/>
        <v>6.7707524597744751E-3</v>
      </c>
      <c r="BE28" s="241" t="str">
        <f t="shared" si="42"/>
        <v>סיום</v>
      </c>
      <c r="BF28" s="242">
        <f t="shared" si="43"/>
        <v>6.7707524597744751E-3</v>
      </c>
      <c r="BG28" s="240">
        <f t="shared" si="44"/>
        <v>0.96331494321169986</v>
      </c>
      <c r="BH28" s="84">
        <f t="shared" si="45"/>
        <v>0</v>
      </c>
      <c r="BI28" s="84">
        <f>IF(BH28="","",IF(OR(BH28=1,IF(ISNA(MATCH("מוגן",$I28:BH28,0)),FALSE,TRUE)),1,0))</f>
        <v>0</v>
      </c>
      <c r="BJ28" s="241">
        <f t="shared" si="46"/>
        <v>6.7707524597744751E-3</v>
      </c>
      <c r="BK28" s="241" t="str">
        <f t="shared" si="47"/>
        <v>סיום</v>
      </c>
      <c r="BL28" s="242">
        <f t="shared" si="48"/>
        <v>6.7707524597744751E-3</v>
      </c>
      <c r="BM28" s="240">
        <f t="shared" si="49"/>
        <v>0.96331494321169986</v>
      </c>
      <c r="BN28" s="84">
        <f t="shared" si="50"/>
        <v>0</v>
      </c>
      <c r="BO28" s="84">
        <f>IF(BN28="","",IF(OR(BN28=1,IF(ISNA(MATCH("מוגן",$I28:BN28,0)),FALSE,TRUE)),1,0))</f>
        <v>0</v>
      </c>
      <c r="BP28" s="241">
        <f t="shared" si="51"/>
        <v>6.7707524597744751E-3</v>
      </c>
      <c r="BQ28" s="241" t="str">
        <f t="shared" si="52"/>
        <v>סיום</v>
      </c>
      <c r="BR28" s="242">
        <f t="shared" si="53"/>
        <v>6.7707524597744751E-3</v>
      </c>
      <c r="BS28" s="240">
        <f t="shared" si="54"/>
        <v>0.96331494321169986</v>
      </c>
      <c r="BT28" s="84">
        <f t="shared" si="55"/>
        <v>0</v>
      </c>
      <c r="BU28" s="84">
        <f>IF(BT28="","",IF(OR(BT28=1,IF(ISNA(MATCH("מוגן",$I28:BT28,0)),FALSE,TRUE)),1,0))</f>
        <v>0</v>
      </c>
      <c r="BV28" s="241">
        <f t="shared" si="56"/>
        <v>6.7707524597744751E-3</v>
      </c>
      <c r="BW28" s="241" t="str">
        <f t="shared" si="57"/>
        <v>סיום</v>
      </c>
      <c r="BX28" s="242">
        <f t="shared" si="58"/>
        <v>6.7707524597744751E-3</v>
      </c>
      <c r="BY28" s="240">
        <f t="shared" si="59"/>
        <v>0.96331494321169986</v>
      </c>
      <c r="BZ28" s="84">
        <f t="shared" si="60"/>
        <v>0</v>
      </c>
      <c r="CA28" s="84">
        <f>IF(BZ28="","",IF(OR(BZ28=1,IF(ISNA(MATCH("מוגן",$I28:BZ28,0)),FALSE,TRUE)),1,0))</f>
        <v>0</v>
      </c>
      <c r="CB28" s="241">
        <f t="shared" si="61"/>
        <v>6.7707524597744751E-3</v>
      </c>
      <c r="CC28" s="241" t="str">
        <f t="shared" si="62"/>
        <v>סיום</v>
      </c>
      <c r="CD28" s="242">
        <f t="shared" si="63"/>
        <v>6.7707524597744751E-3</v>
      </c>
      <c r="CE28" s="240">
        <f t="shared" si="64"/>
        <v>0.96331494321169986</v>
      </c>
      <c r="CF28" s="84">
        <f t="shared" si="65"/>
        <v>0</v>
      </c>
      <c r="CG28" s="84">
        <f>IF(CF28="","",IF(OR(CF28=1,IF(ISNA(MATCH("מוגן",$I28:CF28,0)),FALSE,TRUE)),1,0))</f>
        <v>0</v>
      </c>
      <c r="CH28" s="241">
        <f t="shared" si="66"/>
        <v>6.7707524597744751E-3</v>
      </c>
      <c r="CI28" s="241" t="str">
        <f t="shared" si="67"/>
        <v>סיום</v>
      </c>
      <c r="CJ28" s="242">
        <f t="shared" si="68"/>
        <v>6.7707524597744751E-3</v>
      </c>
      <c r="CK28" s="240">
        <f t="shared" si="69"/>
        <v>0.96331494321169986</v>
      </c>
      <c r="CL28" s="84">
        <f t="shared" si="70"/>
        <v>0</v>
      </c>
      <c r="CM28" s="84">
        <f>IF(CL28="","",IF(OR(CL28=1,IF(ISNA(MATCH("מוגן",$I28:CL28,0)),FALSE,TRUE)),1,0))</f>
        <v>0</v>
      </c>
      <c r="CN28" s="241">
        <f t="shared" si="71"/>
        <v>6.7707524597744751E-3</v>
      </c>
      <c r="CO28" s="241" t="str">
        <f t="shared" si="72"/>
        <v>סיום</v>
      </c>
      <c r="CP28" s="242">
        <f t="shared" si="73"/>
        <v>6.7707524597744751E-3</v>
      </c>
      <c r="CQ28" s="240">
        <f t="shared" si="74"/>
        <v>0.96331494321169986</v>
      </c>
      <c r="CR28" s="84">
        <f t="shared" si="75"/>
        <v>0</v>
      </c>
      <c r="CS28" s="84">
        <f>IF(CR28="","",IF(OR(CR28=1,IF(ISNA(MATCH("מוגן",$I28:CR28,0)),FALSE,TRUE)),1,0))</f>
        <v>0</v>
      </c>
      <c r="CT28" s="241">
        <f t="shared" si="76"/>
        <v>6.7707524597744751E-3</v>
      </c>
      <c r="CU28" s="241" t="str">
        <f t="shared" si="77"/>
        <v>סיום</v>
      </c>
      <c r="CV28" s="242">
        <f t="shared" si="78"/>
        <v>6.7707524597744751E-3</v>
      </c>
      <c r="CW28" s="240">
        <f t="shared" si="79"/>
        <v>0.96331494321169986</v>
      </c>
      <c r="CX28" s="84">
        <f t="shared" si="80"/>
        <v>0</v>
      </c>
      <c r="CY28" s="84">
        <f>IF(CX28="","",IF(OR(CX28=1,IF(ISNA(MATCH("מוגן",$I28:CX28,0)),FALSE,TRUE)),1,0))</f>
        <v>0</v>
      </c>
      <c r="CZ28" s="241">
        <f t="shared" si="81"/>
        <v>6.7707524597744751E-3</v>
      </c>
      <c r="DA28" s="241" t="str">
        <f t="shared" si="82"/>
        <v>סיום</v>
      </c>
      <c r="DB28" s="242">
        <f t="shared" si="83"/>
        <v>6.7707524597744751E-3</v>
      </c>
      <c r="DC28" s="240">
        <f t="shared" si="84"/>
        <v>0.96331494321169986</v>
      </c>
      <c r="DD28" s="84">
        <f t="shared" si="85"/>
        <v>0</v>
      </c>
      <c r="DE28" s="84">
        <f>IF(DD28="","",IF(OR(DD28=1,IF(ISNA(MATCH("מוגן",$I28:DD28,0)),FALSE,TRUE)),1,0))</f>
        <v>0</v>
      </c>
      <c r="DF28" s="241">
        <f t="shared" si="86"/>
        <v>6.7707524597744751E-3</v>
      </c>
      <c r="DG28" s="241" t="str">
        <f t="shared" si="87"/>
        <v>סיום</v>
      </c>
      <c r="DH28" s="242">
        <f t="shared" si="88"/>
        <v>6.7707524597744751E-3</v>
      </c>
      <c r="DI28" s="240">
        <f t="shared" si="89"/>
        <v>0.96331494321169986</v>
      </c>
      <c r="DJ28" s="84">
        <f t="shared" si="90"/>
        <v>0</v>
      </c>
      <c r="DK28" s="84">
        <f>IF(DJ28="","",IF(OR(DJ28=1,IF(ISNA(MATCH("מוגן",$I28:DJ28,0)),FALSE,TRUE)),1,0))</f>
        <v>0</v>
      </c>
      <c r="DL28" s="241">
        <f t="shared" si="91"/>
        <v>6.7707524597744751E-3</v>
      </c>
      <c r="DM28" s="241" t="str">
        <f t="shared" si="92"/>
        <v>סיום</v>
      </c>
      <c r="DN28" s="242">
        <f t="shared" si="93"/>
        <v>6.7707524597744751E-3</v>
      </c>
      <c r="DO28" s="240">
        <f t="shared" si="94"/>
        <v>0.96331494321169986</v>
      </c>
      <c r="DP28" s="84">
        <f t="shared" si="95"/>
        <v>0</v>
      </c>
      <c r="DQ28" s="84">
        <f>IF(DP28="","",IF(OR(DP28=1,IF(ISNA(MATCH("מוגן",$I28:DP28,0)),FALSE,TRUE)),1,0))</f>
        <v>0</v>
      </c>
      <c r="DR28" s="241">
        <f t="shared" si="96"/>
        <v>6.7707524597744751E-3</v>
      </c>
      <c r="DS28" s="241" t="str">
        <f t="shared" si="97"/>
        <v>סיום</v>
      </c>
      <c r="DT28" s="242">
        <f t="shared" si="98"/>
        <v>6.7707524597744751E-3</v>
      </c>
      <c r="DU28" s="240">
        <f t="shared" si="99"/>
        <v>0.96331494321169986</v>
      </c>
      <c r="DV28" s="84">
        <f t="shared" si="100"/>
        <v>0</v>
      </c>
      <c r="DW28" s="84">
        <f>IF(DV28="","",IF(OR(DV28=1,IF(ISNA(MATCH("מוגן",$I28:DV28,0)),FALSE,TRUE)),1,0))</f>
        <v>0</v>
      </c>
      <c r="DX28" s="241">
        <f t="shared" si="101"/>
        <v>6.7707524597744751E-3</v>
      </c>
      <c r="DY28" s="241" t="str">
        <f t="shared" si="102"/>
        <v>סיום</v>
      </c>
      <c r="DZ28" s="242">
        <f t="shared" si="103"/>
        <v>6.7707524597744751E-3</v>
      </c>
      <c r="EA28" s="240">
        <f t="shared" si="104"/>
        <v>0.96331494321169986</v>
      </c>
      <c r="EB28" s="84">
        <f t="shared" si="105"/>
        <v>0</v>
      </c>
      <c r="EC28" s="84">
        <f>IF(EB28="","",IF(OR(EB28=1,IF(ISNA(MATCH("מוגן",$I28:EB28,0)),FALSE,TRUE)),1,0))</f>
        <v>0</v>
      </c>
      <c r="ED28" s="241">
        <f t="shared" si="106"/>
        <v>6.7707524597744751E-3</v>
      </c>
      <c r="EE28" s="241" t="str">
        <f t="shared" si="107"/>
        <v>סיום</v>
      </c>
      <c r="EF28" s="242">
        <f t="shared" si="108"/>
        <v>6.7707524597744751E-3</v>
      </c>
      <c r="EG28" s="240">
        <f t="shared" si="109"/>
        <v>0.96331494321169986</v>
      </c>
      <c r="EH28" s="84">
        <f t="shared" si="110"/>
        <v>0</v>
      </c>
      <c r="EI28" s="84">
        <f>IF(EH28="","",IF(OR(EH28=1,IF(ISNA(MATCH("מוגן",$I28:EH28,0)),FALSE,TRUE)),1,0))</f>
        <v>0</v>
      </c>
      <c r="EJ28" s="241">
        <f t="shared" si="111"/>
        <v>6.7707524597744751E-3</v>
      </c>
      <c r="EK28" s="241" t="str">
        <f t="shared" si="112"/>
        <v>סיום</v>
      </c>
      <c r="EL28" s="242">
        <f t="shared" si="113"/>
        <v>6.7707524597744751E-3</v>
      </c>
      <c r="EM28" s="240">
        <f t="shared" si="114"/>
        <v>0.96331494321169986</v>
      </c>
      <c r="EN28" s="84">
        <f t="shared" si="115"/>
        <v>0</v>
      </c>
      <c r="EO28" s="84">
        <f>IF(EN28="","",IF(OR(EN28=1,IF(ISNA(MATCH("מוגן",$I28:EN28,0)),FALSE,TRUE)),1,0))</f>
        <v>0</v>
      </c>
      <c r="EP28" s="241">
        <f t="shared" si="116"/>
        <v>6.7707524597744751E-3</v>
      </c>
      <c r="EQ28" s="241" t="str">
        <f t="shared" si="117"/>
        <v>סיום</v>
      </c>
      <c r="ER28" s="242">
        <f t="shared" si="118"/>
        <v>6.7707524597744751E-3</v>
      </c>
      <c r="ES28" s="240">
        <f t="shared" si="119"/>
        <v>0.96331494321169986</v>
      </c>
      <c r="ET28" s="84">
        <f t="shared" si="120"/>
        <v>0</v>
      </c>
      <c r="EU28" s="84">
        <f>IF(ET28="","",IF(OR(ET28=1,IF(ISNA(MATCH("מוגן",$I28:ET28,0)),FALSE,TRUE)),1,0))</f>
        <v>0</v>
      </c>
      <c r="EV28" s="241">
        <f t="shared" si="121"/>
        <v>6.7707524597744751E-3</v>
      </c>
      <c r="EW28" s="241" t="str">
        <f t="shared" si="122"/>
        <v>סיום</v>
      </c>
      <c r="EX28" s="242">
        <f t="shared" si="123"/>
        <v>6.7707524597744751E-3</v>
      </c>
      <c r="EY28" s="240">
        <f t="shared" si="124"/>
        <v>0.96331494321169986</v>
      </c>
      <c r="EZ28" s="84">
        <f t="shared" si="125"/>
        <v>0</v>
      </c>
      <c r="FA28" s="84">
        <f>IF(EZ28="","",IF(OR(EZ28=1,IF(ISNA(MATCH("מוגן",$I28:EZ28,0)),FALSE,TRUE)),1,0))</f>
        <v>0</v>
      </c>
      <c r="FB28" s="241">
        <f t="shared" si="126"/>
        <v>6.7707524597744751E-3</v>
      </c>
      <c r="FC28" s="241" t="str">
        <f t="shared" si="127"/>
        <v>סיום</v>
      </c>
      <c r="FD28" s="242">
        <f t="shared" si="128"/>
        <v>6.7707524597744751E-3</v>
      </c>
      <c r="FE28" s="240">
        <f t="shared" si="129"/>
        <v>0.96331494321169986</v>
      </c>
      <c r="FF28" s="84">
        <f t="shared" si="130"/>
        <v>0</v>
      </c>
      <c r="FG28" s="84">
        <f>IF(FF28="","",IF(OR(FF28=1,IF(ISNA(MATCH("מוגן",$I28:FF28,0)),FALSE,TRUE)),1,0))</f>
        <v>0</v>
      </c>
      <c r="FH28" s="241">
        <f t="shared" si="131"/>
        <v>6.7707524597744751E-3</v>
      </c>
      <c r="FI28" s="241" t="str">
        <f t="shared" si="132"/>
        <v>סיום</v>
      </c>
      <c r="FJ28" s="242">
        <f t="shared" si="133"/>
        <v>6.7707524597744751E-3</v>
      </c>
      <c r="FK28" s="240">
        <f t="shared" si="134"/>
        <v>0.96331494321169986</v>
      </c>
      <c r="FL28" s="84">
        <f t="shared" si="135"/>
        <v>0</v>
      </c>
      <c r="FM28" s="84">
        <f>IF(FL28="","",IF(OR(FL28=1,IF(ISNA(MATCH("מוגן",$I28:FL28,0)),FALSE,TRUE)),1,0))</f>
        <v>0</v>
      </c>
      <c r="FN28" s="241">
        <f t="shared" si="136"/>
        <v>6.7707524597744751E-3</v>
      </c>
      <c r="FO28" s="241" t="str">
        <f t="shared" si="137"/>
        <v>סיום</v>
      </c>
      <c r="FP28" s="242">
        <f t="shared" si="138"/>
        <v>6.7707524597744751E-3</v>
      </c>
      <c r="FQ28" s="240">
        <f t="shared" si="139"/>
        <v>0.96331494321169986</v>
      </c>
      <c r="FR28" s="84">
        <f t="shared" si="140"/>
        <v>0</v>
      </c>
      <c r="FS28" s="84">
        <f>IF(FR28="","",IF(OR(FR28=1,IF(ISNA(MATCH("מוגן",$I28:FR28,0)),FALSE,TRUE)),1,0))</f>
        <v>0</v>
      </c>
      <c r="FT28" s="241">
        <f t="shared" si="141"/>
        <v>6.7707524597744751E-3</v>
      </c>
      <c r="FU28" s="241" t="str">
        <f t="shared" si="142"/>
        <v>סיום</v>
      </c>
      <c r="FV28" s="242">
        <f t="shared" si="143"/>
        <v>6.7707524597744751E-3</v>
      </c>
      <c r="FW28" s="240">
        <f t="shared" si="144"/>
        <v>0.96331494321169986</v>
      </c>
      <c r="FX28" s="84">
        <f t="shared" si="145"/>
        <v>0</v>
      </c>
      <c r="FY28" s="84">
        <f>IF(FX28="","",IF(OR(FX28=1,IF(ISNA(MATCH("מוגן",$I28:FX28,0)),FALSE,TRUE)),1,0))</f>
        <v>0</v>
      </c>
      <c r="FZ28" s="241">
        <f t="shared" si="146"/>
        <v>6.7707524597744751E-3</v>
      </c>
      <c r="GA28" s="241" t="str">
        <f t="shared" si="147"/>
        <v>סיום</v>
      </c>
      <c r="GB28" s="242">
        <f t="shared" si="148"/>
        <v>6.7707524597744751E-3</v>
      </c>
      <c r="GC28" s="240">
        <f t="shared" si="149"/>
        <v>0.96331494321169986</v>
      </c>
      <c r="GD28" s="84">
        <f t="shared" si="150"/>
        <v>0</v>
      </c>
      <c r="GE28" s="84">
        <f>IF(GD28="","",IF(OR(GD28=1,IF(ISNA(MATCH("מוגן",$I28:GD28,0)),FALSE,TRUE)),1,0))</f>
        <v>0</v>
      </c>
      <c r="GF28" s="241">
        <f t="shared" si="151"/>
        <v>6.7707524597744751E-3</v>
      </c>
      <c r="GG28" s="241" t="str">
        <f t="shared" si="152"/>
        <v>סיום</v>
      </c>
      <c r="GH28" s="242">
        <f t="shared" si="153"/>
        <v>6.7707524597744751E-3</v>
      </c>
      <c r="GI28" s="240">
        <f t="shared" si="154"/>
        <v>0.96331494321169986</v>
      </c>
      <c r="GJ28" s="84">
        <f t="shared" si="155"/>
        <v>0</v>
      </c>
      <c r="GK28" s="84">
        <f>IF(GJ28="","",IF(OR(GJ28=1,IF(ISNA(MATCH("מוגן",$I28:GJ28,0)),FALSE,TRUE)),1,0))</f>
        <v>0</v>
      </c>
      <c r="GL28" s="241">
        <f t="shared" si="156"/>
        <v>6.7707524597744751E-3</v>
      </c>
      <c r="GM28" s="241" t="str">
        <f t="shared" si="157"/>
        <v>סיום</v>
      </c>
      <c r="GN28" s="242">
        <f t="shared" si="158"/>
        <v>6.7707524597744751E-3</v>
      </c>
      <c r="GO28" s="240">
        <f t="shared" si="159"/>
        <v>0.96331494321169986</v>
      </c>
      <c r="GP28" s="84">
        <f t="shared" si="160"/>
        <v>0</v>
      </c>
      <c r="GQ28" s="84">
        <f>IF(GP28="","",IF(OR(GP28=1,IF(ISNA(MATCH("מוגן",$I28:GP28,0)),FALSE,TRUE)),1,0))</f>
        <v>0</v>
      </c>
      <c r="GR28" s="241">
        <f t="shared" si="161"/>
        <v>6.7707524597744751E-3</v>
      </c>
      <c r="GS28" s="241" t="str">
        <f t="shared" si="162"/>
        <v>סיום</v>
      </c>
      <c r="GT28" s="242">
        <f t="shared" si="163"/>
        <v>6.7707524597744751E-3</v>
      </c>
      <c r="GU28" s="240">
        <f t="shared" si="164"/>
        <v>0.96331494321169986</v>
      </c>
      <c r="GV28" s="84">
        <f t="shared" si="165"/>
        <v>0</v>
      </c>
      <c r="GW28" s="84">
        <f>IF(GV28="","",IF(OR(GV28=1,IF(ISNA(MATCH("מוגן",$I28:GV28,0)),FALSE,TRUE)),1,0))</f>
        <v>0</v>
      </c>
      <c r="GX28" s="241">
        <f t="shared" si="166"/>
        <v>6.7707524597744751E-3</v>
      </c>
      <c r="GY28" s="241" t="str">
        <f t="shared" si="167"/>
        <v>סיום</v>
      </c>
      <c r="GZ28" s="242">
        <f t="shared" si="168"/>
        <v>6.7707524597744751E-3</v>
      </c>
      <c r="HA28" s="119">
        <f t="shared" si="169"/>
        <v>669099.40114112012</v>
      </c>
      <c r="HB28" s="246" t="str">
        <f t="shared" si="170"/>
        <v>OK</v>
      </c>
      <c r="HC28" s="244">
        <f t="shared" si="171"/>
        <v>0.96331494321169986</v>
      </c>
      <c r="HD28" s="245">
        <f t="shared" si="172"/>
        <v>6.7707524597744751E-3</v>
      </c>
      <c r="HE28" s="111">
        <f t="shared" si="173"/>
        <v>0</v>
      </c>
      <c r="HF28" s="111">
        <f t="shared" si="174"/>
        <v>1</v>
      </c>
      <c r="HG28" s="111" t="b">
        <f>OR(B28="",ISNA(MATCH(C28,{0,1},0)))</f>
        <v>0</v>
      </c>
    </row>
    <row r="29" spans="1:215">
      <c r="A29" s="120">
        <f>ייצוב!A25</f>
        <v>21</v>
      </c>
      <c r="B29" s="121" t="str">
        <f>ייצוב!B25</f>
        <v>הקרון</v>
      </c>
      <c r="C29" s="67"/>
      <c r="D29" s="240">
        <f>ייצוב!E25</f>
        <v>2.096131633627938E-2</v>
      </c>
      <c r="E29" s="240">
        <f>ייצוב!G25</f>
        <v>2.2033089685559202E-2</v>
      </c>
      <c r="F29" s="240">
        <f t="shared" si="0"/>
        <v>1.0511310135339553</v>
      </c>
      <c r="G29" s="84">
        <f t="shared" si="1"/>
        <v>0</v>
      </c>
      <c r="H29" s="241">
        <f t="shared" si="2"/>
        <v>2.2033089685559202E-2</v>
      </c>
      <c r="I29" s="241">
        <f t="array" ref="I29">IF(H29="","",IF(G29=1,"מוגן",H29/SUMIF(G$9:G$41,"=0",H$9:H$41)))</f>
        <v>2.2033089685559202E-2</v>
      </c>
      <c r="J29" s="242">
        <f t="shared" si="3"/>
        <v>2.2033089685559202E-2</v>
      </c>
      <c r="K29" s="240">
        <f t="shared" si="4"/>
        <v>1.0511310135339553</v>
      </c>
      <c r="L29" s="84">
        <f t="shared" si="5"/>
        <v>0</v>
      </c>
      <c r="M29" s="84">
        <f>IF(L29="","",IF(OR(L29=1,IF(ISNA(MATCH("מוגן",$I29:L29,0)),FALSE,TRUE)),1,0))</f>
        <v>0</v>
      </c>
      <c r="N29" s="241">
        <f t="shared" si="6"/>
        <v>2.2033089685559202E-2</v>
      </c>
      <c r="O29" s="241" t="str">
        <f t="shared" si="7"/>
        <v>סיום</v>
      </c>
      <c r="P29" s="242">
        <f t="shared" si="8"/>
        <v>2.2033089685559202E-2</v>
      </c>
      <c r="Q29" s="240">
        <f t="shared" si="9"/>
        <v>1.0511310135339553</v>
      </c>
      <c r="R29" s="84">
        <f t="shared" si="10"/>
        <v>0</v>
      </c>
      <c r="S29" s="84">
        <f>IF(R29="","",IF(OR(R29=1,IF(ISNA(MATCH("מוגן",$I29:R29,0)),FALSE,TRUE)),1,0))</f>
        <v>0</v>
      </c>
      <c r="T29" s="241">
        <f t="shared" si="11"/>
        <v>2.2033089685559202E-2</v>
      </c>
      <c r="U29" s="241" t="str">
        <f t="shared" si="12"/>
        <v>סיום</v>
      </c>
      <c r="V29" s="242">
        <f t="shared" si="13"/>
        <v>2.2033089685559202E-2</v>
      </c>
      <c r="W29" s="240">
        <f t="shared" si="14"/>
        <v>1.0511310135339553</v>
      </c>
      <c r="X29" s="84">
        <f t="shared" si="15"/>
        <v>0</v>
      </c>
      <c r="Y29" s="84">
        <f>IF(X29="","",IF(OR(X29=1,IF(ISNA(MATCH("מוגן",$I29:X29,0)),FALSE,TRUE)),1,0))</f>
        <v>0</v>
      </c>
      <c r="Z29" s="241">
        <f t="shared" si="16"/>
        <v>2.2033089685559202E-2</v>
      </c>
      <c r="AA29" s="241" t="str">
        <f t="shared" si="17"/>
        <v>סיום</v>
      </c>
      <c r="AB29" s="242">
        <f t="shared" si="18"/>
        <v>2.2033089685559202E-2</v>
      </c>
      <c r="AC29" s="240">
        <f t="shared" si="19"/>
        <v>1.0511310135339553</v>
      </c>
      <c r="AD29" s="84">
        <f t="shared" si="20"/>
        <v>0</v>
      </c>
      <c r="AE29" s="84">
        <f>IF(AD29="","",IF(OR(AD29=1,IF(ISNA(MATCH("מוגן",$I29:AD29,0)),FALSE,TRUE)),1,0))</f>
        <v>0</v>
      </c>
      <c r="AF29" s="241">
        <f t="shared" si="21"/>
        <v>2.2033089685559202E-2</v>
      </c>
      <c r="AG29" s="241" t="str">
        <f t="shared" si="22"/>
        <v>סיום</v>
      </c>
      <c r="AH29" s="242">
        <f t="shared" si="23"/>
        <v>2.2033089685559202E-2</v>
      </c>
      <c r="AI29" s="240">
        <f t="shared" si="24"/>
        <v>1.0511310135339553</v>
      </c>
      <c r="AJ29" s="84">
        <f t="shared" si="25"/>
        <v>0</v>
      </c>
      <c r="AK29" s="84">
        <f>IF(AJ29="","",IF(OR(AJ29=1,IF(ISNA(MATCH("מוגן",$I29:AJ29,0)),FALSE,TRUE)),1,0))</f>
        <v>0</v>
      </c>
      <c r="AL29" s="241">
        <f t="shared" si="26"/>
        <v>2.2033089685559202E-2</v>
      </c>
      <c r="AM29" s="241" t="str">
        <f t="shared" si="27"/>
        <v>סיום</v>
      </c>
      <c r="AN29" s="242">
        <f t="shared" si="28"/>
        <v>2.2033089685559202E-2</v>
      </c>
      <c r="AO29" s="240">
        <f t="shared" si="29"/>
        <v>1.0511310135339553</v>
      </c>
      <c r="AP29" s="84">
        <f t="shared" si="30"/>
        <v>0</v>
      </c>
      <c r="AQ29" s="84">
        <f>IF(AP29="","",IF(OR(AP29=1,IF(ISNA(MATCH("מוגן",$I29:AP29,0)),FALSE,TRUE)),1,0))</f>
        <v>0</v>
      </c>
      <c r="AR29" s="241">
        <f t="shared" si="31"/>
        <v>2.2033089685559202E-2</v>
      </c>
      <c r="AS29" s="241" t="str">
        <f t="shared" si="32"/>
        <v>סיום</v>
      </c>
      <c r="AT29" s="242">
        <f t="shared" si="33"/>
        <v>2.2033089685559202E-2</v>
      </c>
      <c r="AU29" s="240">
        <f t="shared" si="34"/>
        <v>1.0511310135339553</v>
      </c>
      <c r="AV29" s="84">
        <f t="shared" si="35"/>
        <v>0</v>
      </c>
      <c r="AW29" s="84">
        <f>IF(AV29="","",IF(OR(AV29=1,IF(ISNA(MATCH("מוגן",$I29:AV29,0)),FALSE,TRUE)),1,0))</f>
        <v>0</v>
      </c>
      <c r="AX29" s="241">
        <f t="shared" si="36"/>
        <v>2.2033089685559202E-2</v>
      </c>
      <c r="AY29" s="241" t="str">
        <f t="shared" si="37"/>
        <v>סיום</v>
      </c>
      <c r="AZ29" s="242">
        <f t="shared" si="38"/>
        <v>2.2033089685559202E-2</v>
      </c>
      <c r="BA29" s="240">
        <f t="shared" si="39"/>
        <v>1.0511310135339553</v>
      </c>
      <c r="BB29" s="84">
        <f t="shared" si="40"/>
        <v>0</v>
      </c>
      <c r="BC29" s="84">
        <f>IF(BB29="","",IF(OR(BB29=1,IF(ISNA(MATCH("מוגן",$I29:BB29,0)),FALSE,TRUE)),1,0))</f>
        <v>0</v>
      </c>
      <c r="BD29" s="241">
        <f t="shared" si="41"/>
        <v>2.2033089685559202E-2</v>
      </c>
      <c r="BE29" s="241" t="str">
        <f t="shared" si="42"/>
        <v>סיום</v>
      </c>
      <c r="BF29" s="242">
        <f t="shared" si="43"/>
        <v>2.2033089685559202E-2</v>
      </c>
      <c r="BG29" s="240">
        <f t="shared" si="44"/>
        <v>1.0511310135339553</v>
      </c>
      <c r="BH29" s="84">
        <f t="shared" si="45"/>
        <v>0</v>
      </c>
      <c r="BI29" s="84">
        <f>IF(BH29="","",IF(OR(BH29=1,IF(ISNA(MATCH("מוגן",$I29:BH29,0)),FALSE,TRUE)),1,0))</f>
        <v>0</v>
      </c>
      <c r="BJ29" s="241">
        <f t="shared" si="46"/>
        <v>2.2033089685559202E-2</v>
      </c>
      <c r="BK29" s="241" t="str">
        <f t="shared" si="47"/>
        <v>סיום</v>
      </c>
      <c r="BL29" s="242">
        <f t="shared" si="48"/>
        <v>2.2033089685559202E-2</v>
      </c>
      <c r="BM29" s="240">
        <f t="shared" si="49"/>
        <v>1.0511310135339553</v>
      </c>
      <c r="BN29" s="84">
        <f t="shared" si="50"/>
        <v>0</v>
      </c>
      <c r="BO29" s="84">
        <f>IF(BN29="","",IF(OR(BN29=1,IF(ISNA(MATCH("מוגן",$I29:BN29,0)),FALSE,TRUE)),1,0))</f>
        <v>0</v>
      </c>
      <c r="BP29" s="241">
        <f t="shared" si="51"/>
        <v>2.2033089685559202E-2</v>
      </c>
      <c r="BQ29" s="241" t="str">
        <f t="shared" si="52"/>
        <v>סיום</v>
      </c>
      <c r="BR29" s="242">
        <f t="shared" si="53"/>
        <v>2.2033089685559202E-2</v>
      </c>
      <c r="BS29" s="240">
        <f t="shared" si="54"/>
        <v>1.0511310135339553</v>
      </c>
      <c r="BT29" s="84">
        <f t="shared" si="55"/>
        <v>0</v>
      </c>
      <c r="BU29" s="84">
        <f>IF(BT29="","",IF(OR(BT29=1,IF(ISNA(MATCH("מוגן",$I29:BT29,0)),FALSE,TRUE)),1,0))</f>
        <v>0</v>
      </c>
      <c r="BV29" s="241">
        <f t="shared" si="56"/>
        <v>2.2033089685559202E-2</v>
      </c>
      <c r="BW29" s="241" t="str">
        <f t="shared" si="57"/>
        <v>סיום</v>
      </c>
      <c r="BX29" s="242">
        <f t="shared" si="58"/>
        <v>2.2033089685559202E-2</v>
      </c>
      <c r="BY29" s="240">
        <f t="shared" si="59"/>
        <v>1.0511310135339553</v>
      </c>
      <c r="BZ29" s="84">
        <f t="shared" si="60"/>
        <v>0</v>
      </c>
      <c r="CA29" s="84">
        <f>IF(BZ29="","",IF(OR(BZ29=1,IF(ISNA(MATCH("מוגן",$I29:BZ29,0)),FALSE,TRUE)),1,0))</f>
        <v>0</v>
      </c>
      <c r="CB29" s="241">
        <f t="shared" si="61"/>
        <v>2.2033089685559202E-2</v>
      </c>
      <c r="CC29" s="241" t="str">
        <f t="shared" si="62"/>
        <v>סיום</v>
      </c>
      <c r="CD29" s="242">
        <f t="shared" si="63"/>
        <v>2.2033089685559202E-2</v>
      </c>
      <c r="CE29" s="240">
        <f t="shared" si="64"/>
        <v>1.0511310135339553</v>
      </c>
      <c r="CF29" s="84">
        <f t="shared" si="65"/>
        <v>0</v>
      </c>
      <c r="CG29" s="84">
        <f>IF(CF29="","",IF(OR(CF29=1,IF(ISNA(MATCH("מוגן",$I29:CF29,0)),FALSE,TRUE)),1,0))</f>
        <v>0</v>
      </c>
      <c r="CH29" s="241">
        <f t="shared" si="66"/>
        <v>2.2033089685559202E-2</v>
      </c>
      <c r="CI29" s="241" t="str">
        <f t="shared" si="67"/>
        <v>סיום</v>
      </c>
      <c r="CJ29" s="242">
        <f t="shared" si="68"/>
        <v>2.2033089685559202E-2</v>
      </c>
      <c r="CK29" s="240">
        <f t="shared" si="69"/>
        <v>1.0511310135339553</v>
      </c>
      <c r="CL29" s="84">
        <f t="shared" si="70"/>
        <v>0</v>
      </c>
      <c r="CM29" s="84">
        <f>IF(CL29="","",IF(OR(CL29=1,IF(ISNA(MATCH("מוגן",$I29:CL29,0)),FALSE,TRUE)),1,0))</f>
        <v>0</v>
      </c>
      <c r="CN29" s="241">
        <f t="shared" si="71"/>
        <v>2.2033089685559202E-2</v>
      </c>
      <c r="CO29" s="241" t="str">
        <f t="shared" si="72"/>
        <v>סיום</v>
      </c>
      <c r="CP29" s="242">
        <f t="shared" si="73"/>
        <v>2.2033089685559202E-2</v>
      </c>
      <c r="CQ29" s="240">
        <f t="shared" si="74"/>
        <v>1.0511310135339553</v>
      </c>
      <c r="CR29" s="84">
        <f t="shared" si="75"/>
        <v>0</v>
      </c>
      <c r="CS29" s="84">
        <f>IF(CR29="","",IF(OR(CR29=1,IF(ISNA(MATCH("מוגן",$I29:CR29,0)),FALSE,TRUE)),1,0))</f>
        <v>0</v>
      </c>
      <c r="CT29" s="241">
        <f t="shared" si="76"/>
        <v>2.2033089685559202E-2</v>
      </c>
      <c r="CU29" s="241" t="str">
        <f t="shared" si="77"/>
        <v>סיום</v>
      </c>
      <c r="CV29" s="242">
        <f t="shared" si="78"/>
        <v>2.2033089685559202E-2</v>
      </c>
      <c r="CW29" s="240">
        <f t="shared" si="79"/>
        <v>1.0511310135339553</v>
      </c>
      <c r="CX29" s="84">
        <f t="shared" si="80"/>
        <v>0</v>
      </c>
      <c r="CY29" s="84">
        <f>IF(CX29="","",IF(OR(CX29=1,IF(ISNA(MATCH("מוגן",$I29:CX29,0)),FALSE,TRUE)),1,0))</f>
        <v>0</v>
      </c>
      <c r="CZ29" s="241">
        <f t="shared" si="81"/>
        <v>2.2033089685559202E-2</v>
      </c>
      <c r="DA29" s="241" t="str">
        <f t="shared" si="82"/>
        <v>סיום</v>
      </c>
      <c r="DB29" s="242">
        <f t="shared" si="83"/>
        <v>2.2033089685559202E-2</v>
      </c>
      <c r="DC29" s="240">
        <f t="shared" si="84"/>
        <v>1.0511310135339553</v>
      </c>
      <c r="DD29" s="84">
        <f t="shared" si="85"/>
        <v>0</v>
      </c>
      <c r="DE29" s="84">
        <f>IF(DD29="","",IF(OR(DD29=1,IF(ISNA(MATCH("מוגן",$I29:DD29,0)),FALSE,TRUE)),1,0))</f>
        <v>0</v>
      </c>
      <c r="DF29" s="241">
        <f t="shared" si="86"/>
        <v>2.2033089685559202E-2</v>
      </c>
      <c r="DG29" s="241" t="str">
        <f t="shared" si="87"/>
        <v>סיום</v>
      </c>
      <c r="DH29" s="242">
        <f t="shared" si="88"/>
        <v>2.2033089685559202E-2</v>
      </c>
      <c r="DI29" s="240">
        <f t="shared" si="89"/>
        <v>1.0511310135339553</v>
      </c>
      <c r="DJ29" s="84">
        <f t="shared" si="90"/>
        <v>0</v>
      </c>
      <c r="DK29" s="84">
        <f>IF(DJ29="","",IF(OR(DJ29=1,IF(ISNA(MATCH("מוגן",$I29:DJ29,0)),FALSE,TRUE)),1,0))</f>
        <v>0</v>
      </c>
      <c r="DL29" s="241">
        <f t="shared" si="91"/>
        <v>2.2033089685559202E-2</v>
      </c>
      <c r="DM29" s="241" t="str">
        <f t="shared" si="92"/>
        <v>סיום</v>
      </c>
      <c r="DN29" s="242">
        <f t="shared" si="93"/>
        <v>2.2033089685559202E-2</v>
      </c>
      <c r="DO29" s="240">
        <f t="shared" si="94"/>
        <v>1.0511310135339553</v>
      </c>
      <c r="DP29" s="84">
        <f t="shared" si="95"/>
        <v>0</v>
      </c>
      <c r="DQ29" s="84">
        <f>IF(DP29="","",IF(OR(DP29=1,IF(ISNA(MATCH("מוגן",$I29:DP29,0)),FALSE,TRUE)),1,0))</f>
        <v>0</v>
      </c>
      <c r="DR29" s="241">
        <f t="shared" si="96"/>
        <v>2.2033089685559202E-2</v>
      </c>
      <c r="DS29" s="241" t="str">
        <f t="shared" si="97"/>
        <v>סיום</v>
      </c>
      <c r="DT29" s="242">
        <f t="shared" si="98"/>
        <v>2.2033089685559202E-2</v>
      </c>
      <c r="DU29" s="240">
        <f t="shared" si="99"/>
        <v>1.0511310135339553</v>
      </c>
      <c r="DV29" s="84">
        <f t="shared" si="100"/>
        <v>0</v>
      </c>
      <c r="DW29" s="84">
        <f>IF(DV29="","",IF(OR(DV29=1,IF(ISNA(MATCH("מוגן",$I29:DV29,0)),FALSE,TRUE)),1,0))</f>
        <v>0</v>
      </c>
      <c r="DX29" s="241">
        <f t="shared" si="101"/>
        <v>2.2033089685559202E-2</v>
      </c>
      <c r="DY29" s="241" t="str">
        <f t="shared" si="102"/>
        <v>סיום</v>
      </c>
      <c r="DZ29" s="242">
        <f t="shared" si="103"/>
        <v>2.2033089685559202E-2</v>
      </c>
      <c r="EA29" s="240">
        <f t="shared" si="104"/>
        <v>1.0511310135339553</v>
      </c>
      <c r="EB29" s="84">
        <f t="shared" si="105"/>
        <v>0</v>
      </c>
      <c r="EC29" s="84">
        <f>IF(EB29="","",IF(OR(EB29=1,IF(ISNA(MATCH("מוגן",$I29:EB29,0)),FALSE,TRUE)),1,0))</f>
        <v>0</v>
      </c>
      <c r="ED29" s="241">
        <f t="shared" si="106"/>
        <v>2.2033089685559202E-2</v>
      </c>
      <c r="EE29" s="241" t="str">
        <f t="shared" si="107"/>
        <v>סיום</v>
      </c>
      <c r="EF29" s="242">
        <f t="shared" si="108"/>
        <v>2.2033089685559202E-2</v>
      </c>
      <c r="EG29" s="240">
        <f t="shared" si="109"/>
        <v>1.0511310135339553</v>
      </c>
      <c r="EH29" s="84">
        <f t="shared" si="110"/>
        <v>0</v>
      </c>
      <c r="EI29" s="84">
        <f>IF(EH29="","",IF(OR(EH29=1,IF(ISNA(MATCH("מוגן",$I29:EH29,0)),FALSE,TRUE)),1,0))</f>
        <v>0</v>
      </c>
      <c r="EJ29" s="241">
        <f t="shared" si="111"/>
        <v>2.2033089685559202E-2</v>
      </c>
      <c r="EK29" s="241" t="str">
        <f t="shared" si="112"/>
        <v>סיום</v>
      </c>
      <c r="EL29" s="242">
        <f t="shared" si="113"/>
        <v>2.2033089685559202E-2</v>
      </c>
      <c r="EM29" s="240">
        <f t="shared" si="114"/>
        <v>1.0511310135339553</v>
      </c>
      <c r="EN29" s="84">
        <f t="shared" si="115"/>
        <v>0</v>
      </c>
      <c r="EO29" s="84">
        <f>IF(EN29="","",IF(OR(EN29=1,IF(ISNA(MATCH("מוגן",$I29:EN29,0)),FALSE,TRUE)),1,0))</f>
        <v>0</v>
      </c>
      <c r="EP29" s="241">
        <f t="shared" si="116"/>
        <v>2.2033089685559202E-2</v>
      </c>
      <c r="EQ29" s="241" t="str">
        <f t="shared" si="117"/>
        <v>סיום</v>
      </c>
      <c r="ER29" s="242">
        <f t="shared" si="118"/>
        <v>2.2033089685559202E-2</v>
      </c>
      <c r="ES29" s="240">
        <f t="shared" si="119"/>
        <v>1.0511310135339553</v>
      </c>
      <c r="ET29" s="84">
        <f t="shared" si="120"/>
        <v>0</v>
      </c>
      <c r="EU29" s="84">
        <f>IF(ET29="","",IF(OR(ET29=1,IF(ISNA(MATCH("מוגן",$I29:ET29,0)),FALSE,TRUE)),1,0))</f>
        <v>0</v>
      </c>
      <c r="EV29" s="241">
        <f t="shared" si="121"/>
        <v>2.2033089685559202E-2</v>
      </c>
      <c r="EW29" s="241" t="str">
        <f t="shared" si="122"/>
        <v>סיום</v>
      </c>
      <c r="EX29" s="242">
        <f t="shared" si="123"/>
        <v>2.2033089685559202E-2</v>
      </c>
      <c r="EY29" s="240">
        <f t="shared" si="124"/>
        <v>1.0511310135339553</v>
      </c>
      <c r="EZ29" s="84">
        <f t="shared" si="125"/>
        <v>0</v>
      </c>
      <c r="FA29" s="84">
        <f>IF(EZ29="","",IF(OR(EZ29=1,IF(ISNA(MATCH("מוגן",$I29:EZ29,0)),FALSE,TRUE)),1,0))</f>
        <v>0</v>
      </c>
      <c r="FB29" s="241">
        <f t="shared" si="126"/>
        <v>2.2033089685559202E-2</v>
      </c>
      <c r="FC29" s="241" t="str">
        <f t="shared" si="127"/>
        <v>סיום</v>
      </c>
      <c r="FD29" s="242">
        <f t="shared" si="128"/>
        <v>2.2033089685559202E-2</v>
      </c>
      <c r="FE29" s="240">
        <f t="shared" si="129"/>
        <v>1.0511310135339553</v>
      </c>
      <c r="FF29" s="84">
        <f t="shared" si="130"/>
        <v>0</v>
      </c>
      <c r="FG29" s="84">
        <f>IF(FF29="","",IF(OR(FF29=1,IF(ISNA(MATCH("מוגן",$I29:FF29,0)),FALSE,TRUE)),1,0))</f>
        <v>0</v>
      </c>
      <c r="FH29" s="241">
        <f t="shared" si="131"/>
        <v>2.2033089685559202E-2</v>
      </c>
      <c r="FI29" s="241" t="str">
        <f t="shared" si="132"/>
        <v>סיום</v>
      </c>
      <c r="FJ29" s="242">
        <f t="shared" si="133"/>
        <v>2.2033089685559202E-2</v>
      </c>
      <c r="FK29" s="240">
        <f t="shared" si="134"/>
        <v>1.0511310135339553</v>
      </c>
      <c r="FL29" s="84">
        <f t="shared" si="135"/>
        <v>0</v>
      </c>
      <c r="FM29" s="84">
        <f>IF(FL29="","",IF(OR(FL29=1,IF(ISNA(MATCH("מוגן",$I29:FL29,0)),FALSE,TRUE)),1,0))</f>
        <v>0</v>
      </c>
      <c r="FN29" s="241">
        <f t="shared" si="136"/>
        <v>2.2033089685559202E-2</v>
      </c>
      <c r="FO29" s="241" t="str">
        <f t="shared" si="137"/>
        <v>סיום</v>
      </c>
      <c r="FP29" s="242">
        <f t="shared" si="138"/>
        <v>2.2033089685559202E-2</v>
      </c>
      <c r="FQ29" s="240">
        <f t="shared" si="139"/>
        <v>1.0511310135339553</v>
      </c>
      <c r="FR29" s="84">
        <f t="shared" si="140"/>
        <v>0</v>
      </c>
      <c r="FS29" s="84">
        <f>IF(FR29="","",IF(OR(FR29=1,IF(ISNA(MATCH("מוגן",$I29:FR29,0)),FALSE,TRUE)),1,0))</f>
        <v>0</v>
      </c>
      <c r="FT29" s="241">
        <f t="shared" si="141"/>
        <v>2.2033089685559202E-2</v>
      </c>
      <c r="FU29" s="241" t="str">
        <f t="shared" si="142"/>
        <v>סיום</v>
      </c>
      <c r="FV29" s="242">
        <f t="shared" si="143"/>
        <v>2.2033089685559202E-2</v>
      </c>
      <c r="FW29" s="240">
        <f t="shared" si="144"/>
        <v>1.0511310135339553</v>
      </c>
      <c r="FX29" s="84">
        <f t="shared" si="145"/>
        <v>0</v>
      </c>
      <c r="FY29" s="84">
        <f>IF(FX29="","",IF(OR(FX29=1,IF(ISNA(MATCH("מוגן",$I29:FX29,0)),FALSE,TRUE)),1,0))</f>
        <v>0</v>
      </c>
      <c r="FZ29" s="241">
        <f t="shared" si="146"/>
        <v>2.2033089685559202E-2</v>
      </c>
      <c r="GA29" s="241" t="str">
        <f t="shared" si="147"/>
        <v>סיום</v>
      </c>
      <c r="GB29" s="242">
        <f t="shared" si="148"/>
        <v>2.2033089685559202E-2</v>
      </c>
      <c r="GC29" s="240">
        <f t="shared" si="149"/>
        <v>1.0511310135339553</v>
      </c>
      <c r="GD29" s="84">
        <f t="shared" si="150"/>
        <v>0</v>
      </c>
      <c r="GE29" s="84">
        <f>IF(GD29="","",IF(OR(GD29=1,IF(ISNA(MATCH("מוגן",$I29:GD29,0)),FALSE,TRUE)),1,0))</f>
        <v>0</v>
      </c>
      <c r="GF29" s="241">
        <f t="shared" si="151"/>
        <v>2.2033089685559202E-2</v>
      </c>
      <c r="GG29" s="241" t="str">
        <f t="shared" si="152"/>
        <v>סיום</v>
      </c>
      <c r="GH29" s="242">
        <f t="shared" si="153"/>
        <v>2.2033089685559202E-2</v>
      </c>
      <c r="GI29" s="240">
        <f t="shared" si="154"/>
        <v>1.0511310135339553</v>
      </c>
      <c r="GJ29" s="84">
        <f t="shared" si="155"/>
        <v>0</v>
      </c>
      <c r="GK29" s="84">
        <f>IF(GJ29="","",IF(OR(GJ29=1,IF(ISNA(MATCH("מוגן",$I29:GJ29,0)),FALSE,TRUE)),1,0))</f>
        <v>0</v>
      </c>
      <c r="GL29" s="241">
        <f t="shared" si="156"/>
        <v>2.2033089685559202E-2</v>
      </c>
      <c r="GM29" s="241" t="str">
        <f t="shared" si="157"/>
        <v>סיום</v>
      </c>
      <c r="GN29" s="242">
        <f t="shared" si="158"/>
        <v>2.2033089685559202E-2</v>
      </c>
      <c r="GO29" s="240">
        <f t="shared" si="159"/>
        <v>1.0511310135339553</v>
      </c>
      <c r="GP29" s="84">
        <f t="shared" si="160"/>
        <v>0</v>
      </c>
      <c r="GQ29" s="84">
        <f>IF(GP29="","",IF(OR(GP29=1,IF(ISNA(MATCH("מוגן",$I29:GP29,0)),FALSE,TRUE)),1,0))</f>
        <v>0</v>
      </c>
      <c r="GR29" s="241">
        <f t="shared" si="161"/>
        <v>2.2033089685559202E-2</v>
      </c>
      <c r="GS29" s="241" t="str">
        <f t="shared" si="162"/>
        <v>סיום</v>
      </c>
      <c r="GT29" s="242">
        <f t="shared" si="163"/>
        <v>2.2033089685559202E-2</v>
      </c>
      <c r="GU29" s="240">
        <f t="shared" si="164"/>
        <v>1.0511310135339553</v>
      </c>
      <c r="GV29" s="84">
        <f t="shared" si="165"/>
        <v>0</v>
      </c>
      <c r="GW29" s="84">
        <f>IF(GV29="","",IF(OR(GV29=1,IF(ISNA(MATCH("מוגן",$I29:GV29,0)),FALSE,TRUE)),1,0))</f>
        <v>0</v>
      </c>
      <c r="GX29" s="241">
        <f t="shared" si="166"/>
        <v>2.2033089685559202E-2</v>
      </c>
      <c r="GY29" s="241" t="str">
        <f t="shared" si="167"/>
        <v>סיום</v>
      </c>
      <c r="GZ29" s="242">
        <f t="shared" si="168"/>
        <v>2.2033089685559202E-2</v>
      </c>
      <c r="HA29" s="119">
        <f t="shared" si="169"/>
        <v>2177354.3194026765</v>
      </c>
      <c r="HB29" s="246" t="str">
        <f t="shared" si="170"/>
        <v>OK</v>
      </c>
      <c r="HC29" s="244">
        <f t="shared" si="171"/>
        <v>1.0511310135339553</v>
      </c>
      <c r="HD29" s="245">
        <f t="shared" si="172"/>
        <v>2.2033089685559202E-2</v>
      </c>
      <c r="HE29" s="111">
        <f t="shared" si="173"/>
        <v>0</v>
      </c>
      <c r="HF29" s="111">
        <f t="shared" si="174"/>
        <v>1</v>
      </c>
      <c r="HG29" s="111" t="b">
        <f>OR(B29="",ISNA(MATCH(C29,{0,1},0)))</f>
        <v>0</v>
      </c>
    </row>
    <row r="30" spans="1:215">
      <c r="A30" s="120">
        <f>ייצוב!A26</f>
        <v>22</v>
      </c>
      <c r="B30" s="121" t="str">
        <f>ייצוב!B26</f>
        <v>בית הגפן</v>
      </c>
      <c r="C30" s="67"/>
      <c r="D30" s="240">
        <f>ייצוב!E26</f>
        <v>1.2594401256093962E-2</v>
      </c>
      <c r="E30" s="240">
        <f>ייצוב!G26</f>
        <v>1.2409674704331823E-2</v>
      </c>
      <c r="F30" s="240">
        <f t="shared" si="0"/>
        <v>0.98533264519639174</v>
      </c>
      <c r="G30" s="84">
        <f t="shared" si="1"/>
        <v>0</v>
      </c>
      <c r="H30" s="241">
        <f t="shared" si="2"/>
        <v>1.2409674704331823E-2</v>
      </c>
      <c r="I30" s="241">
        <f t="array" ref="I30">IF(H30="","",IF(G30=1,"מוגן",H30/SUMIF(G$9:G$41,"=0",H$9:H$41)))</f>
        <v>1.2409674704331823E-2</v>
      </c>
      <c r="J30" s="242">
        <f t="shared" si="3"/>
        <v>1.2409674704331823E-2</v>
      </c>
      <c r="K30" s="240">
        <f t="shared" si="4"/>
        <v>0.98533264519639174</v>
      </c>
      <c r="L30" s="84">
        <f t="shared" si="5"/>
        <v>0</v>
      </c>
      <c r="M30" s="84">
        <f>IF(L30="","",IF(OR(L30=1,IF(ISNA(MATCH("מוגן",$I30:L30,0)),FALSE,TRUE)),1,0))</f>
        <v>0</v>
      </c>
      <c r="N30" s="241">
        <f t="shared" si="6"/>
        <v>1.2409674704331823E-2</v>
      </c>
      <c r="O30" s="241" t="str">
        <f t="shared" si="7"/>
        <v>סיום</v>
      </c>
      <c r="P30" s="242">
        <f t="shared" si="8"/>
        <v>1.2409674704331823E-2</v>
      </c>
      <c r="Q30" s="240">
        <f t="shared" si="9"/>
        <v>0.98533264519639174</v>
      </c>
      <c r="R30" s="84">
        <f t="shared" si="10"/>
        <v>0</v>
      </c>
      <c r="S30" s="84">
        <f>IF(R30="","",IF(OR(R30=1,IF(ISNA(MATCH("מוגן",$I30:R30,0)),FALSE,TRUE)),1,0))</f>
        <v>0</v>
      </c>
      <c r="T30" s="241">
        <f t="shared" si="11"/>
        <v>1.2409674704331823E-2</v>
      </c>
      <c r="U30" s="241" t="str">
        <f t="shared" si="12"/>
        <v>סיום</v>
      </c>
      <c r="V30" s="242">
        <f t="shared" si="13"/>
        <v>1.2409674704331823E-2</v>
      </c>
      <c r="W30" s="240">
        <f t="shared" si="14"/>
        <v>0.98533264519639174</v>
      </c>
      <c r="X30" s="84">
        <f t="shared" si="15"/>
        <v>0</v>
      </c>
      <c r="Y30" s="84">
        <f>IF(X30="","",IF(OR(X30=1,IF(ISNA(MATCH("מוגן",$I30:X30,0)),FALSE,TRUE)),1,0))</f>
        <v>0</v>
      </c>
      <c r="Z30" s="241">
        <f t="shared" si="16"/>
        <v>1.2409674704331823E-2</v>
      </c>
      <c r="AA30" s="241" t="str">
        <f t="shared" si="17"/>
        <v>סיום</v>
      </c>
      <c r="AB30" s="242">
        <f t="shared" si="18"/>
        <v>1.2409674704331823E-2</v>
      </c>
      <c r="AC30" s="240">
        <f t="shared" si="19"/>
        <v>0.98533264519639174</v>
      </c>
      <c r="AD30" s="84">
        <f t="shared" si="20"/>
        <v>0</v>
      </c>
      <c r="AE30" s="84">
        <f>IF(AD30="","",IF(OR(AD30=1,IF(ISNA(MATCH("מוגן",$I30:AD30,0)),FALSE,TRUE)),1,0))</f>
        <v>0</v>
      </c>
      <c r="AF30" s="241">
        <f t="shared" si="21"/>
        <v>1.2409674704331823E-2</v>
      </c>
      <c r="AG30" s="241" t="str">
        <f t="shared" si="22"/>
        <v>סיום</v>
      </c>
      <c r="AH30" s="242">
        <f t="shared" si="23"/>
        <v>1.2409674704331823E-2</v>
      </c>
      <c r="AI30" s="240">
        <f t="shared" si="24"/>
        <v>0.98533264519639174</v>
      </c>
      <c r="AJ30" s="84">
        <f t="shared" si="25"/>
        <v>0</v>
      </c>
      <c r="AK30" s="84">
        <f>IF(AJ30="","",IF(OR(AJ30=1,IF(ISNA(MATCH("מוגן",$I30:AJ30,0)),FALSE,TRUE)),1,0))</f>
        <v>0</v>
      </c>
      <c r="AL30" s="241">
        <f t="shared" si="26"/>
        <v>1.2409674704331823E-2</v>
      </c>
      <c r="AM30" s="241" t="str">
        <f t="shared" si="27"/>
        <v>סיום</v>
      </c>
      <c r="AN30" s="242">
        <f t="shared" si="28"/>
        <v>1.2409674704331823E-2</v>
      </c>
      <c r="AO30" s="240">
        <f t="shared" si="29"/>
        <v>0.98533264519639174</v>
      </c>
      <c r="AP30" s="84">
        <f t="shared" si="30"/>
        <v>0</v>
      </c>
      <c r="AQ30" s="84">
        <f>IF(AP30="","",IF(OR(AP30=1,IF(ISNA(MATCH("מוגן",$I30:AP30,0)),FALSE,TRUE)),1,0))</f>
        <v>0</v>
      </c>
      <c r="AR30" s="241">
        <f t="shared" si="31"/>
        <v>1.2409674704331823E-2</v>
      </c>
      <c r="AS30" s="241" t="str">
        <f t="shared" si="32"/>
        <v>סיום</v>
      </c>
      <c r="AT30" s="242">
        <f t="shared" si="33"/>
        <v>1.2409674704331823E-2</v>
      </c>
      <c r="AU30" s="240">
        <f t="shared" si="34"/>
        <v>0.98533264519639174</v>
      </c>
      <c r="AV30" s="84">
        <f t="shared" si="35"/>
        <v>0</v>
      </c>
      <c r="AW30" s="84">
        <f>IF(AV30="","",IF(OR(AV30=1,IF(ISNA(MATCH("מוגן",$I30:AV30,0)),FALSE,TRUE)),1,0))</f>
        <v>0</v>
      </c>
      <c r="AX30" s="241">
        <f t="shared" si="36"/>
        <v>1.2409674704331823E-2</v>
      </c>
      <c r="AY30" s="241" t="str">
        <f t="shared" si="37"/>
        <v>סיום</v>
      </c>
      <c r="AZ30" s="242">
        <f t="shared" si="38"/>
        <v>1.2409674704331823E-2</v>
      </c>
      <c r="BA30" s="240">
        <f t="shared" si="39"/>
        <v>0.98533264519639174</v>
      </c>
      <c r="BB30" s="84">
        <f t="shared" si="40"/>
        <v>0</v>
      </c>
      <c r="BC30" s="84">
        <f>IF(BB30="","",IF(OR(BB30=1,IF(ISNA(MATCH("מוגן",$I30:BB30,0)),FALSE,TRUE)),1,0))</f>
        <v>0</v>
      </c>
      <c r="BD30" s="241">
        <f t="shared" si="41"/>
        <v>1.2409674704331823E-2</v>
      </c>
      <c r="BE30" s="241" t="str">
        <f t="shared" si="42"/>
        <v>סיום</v>
      </c>
      <c r="BF30" s="242">
        <f t="shared" si="43"/>
        <v>1.2409674704331823E-2</v>
      </c>
      <c r="BG30" s="240">
        <f t="shared" si="44"/>
        <v>0.98533264519639174</v>
      </c>
      <c r="BH30" s="84">
        <f t="shared" si="45"/>
        <v>0</v>
      </c>
      <c r="BI30" s="84">
        <f>IF(BH30="","",IF(OR(BH30=1,IF(ISNA(MATCH("מוגן",$I30:BH30,0)),FALSE,TRUE)),1,0))</f>
        <v>0</v>
      </c>
      <c r="BJ30" s="241">
        <f t="shared" si="46"/>
        <v>1.2409674704331823E-2</v>
      </c>
      <c r="BK30" s="241" t="str">
        <f t="shared" si="47"/>
        <v>סיום</v>
      </c>
      <c r="BL30" s="242">
        <f t="shared" si="48"/>
        <v>1.2409674704331823E-2</v>
      </c>
      <c r="BM30" s="240">
        <f t="shared" si="49"/>
        <v>0.98533264519639174</v>
      </c>
      <c r="BN30" s="84">
        <f t="shared" si="50"/>
        <v>0</v>
      </c>
      <c r="BO30" s="84">
        <f>IF(BN30="","",IF(OR(BN30=1,IF(ISNA(MATCH("מוגן",$I30:BN30,0)),FALSE,TRUE)),1,0))</f>
        <v>0</v>
      </c>
      <c r="BP30" s="241">
        <f t="shared" si="51"/>
        <v>1.2409674704331823E-2</v>
      </c>
      <c r="BQ30" s="241" t="str">
        <f t="shared" si="52"/>
        <v>סיום</v>
      </c>
      <c r="BR30" s="242">
        <f t="shared" si="53"/>
        <v>1.2409674704331823E-2</v>
      </c>
      <c r="BS30" s="240">
        <f t="shared" si="54"/>
        <v>0.98533264519639174</v>
      </c>
      <c r="BT30" s="84">
        <f t="shared" si="55"/>
        <v>0</v>
      </c>
      <c r="BU30" s="84">
        <f>IF(BT30="","",IF(OR(BT30=1,IF(ISNA(MATCH("מוגן",$I30:BT30,0)),FALSE,TRUE)),1,0))</f>
        <v>0</v>
      </c>
      <c r="BV30" s="241">
        <f t="shared" si="56"/>
        <v>1.2409674704331823E-2</v>
      </c>
      <c r="BW30" s="241" t="str">
        <f t="shared" si="57"/>
        <v>סיום</v>
      </c>
      <c r="BX30" s="242">
        <f t="shared" si="58"/>
        <v>1.2409674704331823E-2</v>
      </c>
      <c r="BY30" s="240">
        <f t="shared" si="59"/>
        <v>0.98533264519639174</v>
      </c>
      <c r="BZ30" s="84">
        <f t="shared" si="60"/>
        <v>0</v>
      </c>
      <c r="CA30" s="84">
        <f>IF(BZ30="","",IF(OR(BZ30=1,IF(ISNA(MATCH("מוגן",$I30:BZ30,0)),FALSE,TRUE)),1,0))</f>
        <v>0</v>
      </c>
      <c r="CB30" s="241">
        <f t="shared" si="61"/>
        <v>1.2409674704331823E-2</v>
      </c>
      <c r="CC30" s="241" t="str">
        <f t="shared" si="62"/>
        <v>סיום</v>
      </c>
      <c r="CD30" s="242">
        <f t="shared" si="63"/>
        <v>1.2409674704331823E-2</v>
      </c>
      <c r="CE30" s="240">
        <f t="shared" si="64"/>
        <v>0.98533264519639174</v>
      </c>
      <c r="CF30" s="84">
        <f t="shared" si="65"/>
        <v>0</v>
      </c>
      <c r="CG30" s="84">
        <f>IF(CF30="","",IF(OR(CF30=1,IF(ISNA(MATCH("מוגן",$I30:CF30,0)),FALSE,TRUE)),1,0))</f>
        <v>0</v>
      </c>
      <c r="CH30" s="241">
        <f t="shared" si="66"/>
        <v>1.2409674704331823E-2</v>
      </c>
      <c r="CI30" s="241" t="str">
        <f t="shared" si="67"/>
        <v>סיום</v>
      </c>
      <c r="CJ30" s="242">
        <f t="shared" si="68"/>
        <v>1.2409674704331823E-2</v>
      </c>
      <c r="CK30" s="240">
        <f t="shared" si="69"/>
        <v>0.98533264519639174</v>
      </c>
      <c r="CL30" s="84">
        <f t="shared" si="70"/>
        <v>0</v>
      </c>
      <c r="CM30" s="84">
        <f>IF(CL30="","",IF(OR(CL30=1,IF(ISNA(MATCH("מוגן",$I30:CL30,0)),FALSE,TRUE)),1,0))</f>
        <v>0</v>
      </c>
      <c r="CN30" s="241">
        <f t="shared" si="71"/>
        <v>1.2409674704331823E-2</v>
      </c>
      <c r="CO30" s="241" t="str">
        <f t="shared" si="72"/>
        <v>סיום</v>
      </c>
      <c r="CP30" s="242">
        <f t="shared" si="73"/>
        <v>1.2409674704331823E-2</v>
      </c>
      <c r="CQ30" s="240">
        <f t="shared" si="74"/>
        <v>0.98533264519639174</v>
      </c>
      <c r="CR30" s="84">
        <f t="shared" si="75"/>
        <v>0</v>
      </c>
      <c r="CS30" s="84">
        <f>IF(CR30="","",IF(OR(CR30=1,IF(ISNA(MATCH("מוגן",$I30:CR30,0)),FALSE,TRUE)),1,0))</f>
        <v>0</v>
      </c>
      <c r="CT30" s="241">
        <f t="shared" si="76"/>
        <v>1.2409674704331823E-2</v>
      </c>
      <c r="CU30" s="241" t="str">
        <f t="shared" si="77"/>
        <v>סיום</v>
      </c>
      <c r="CV30" s="242">
        <f t="shared" si="78"/>
        <v>1.2409674704331823E-2</v>
      </c>
      <c r="CW30" s="240">
        <f t="shared" si="79"/>
        <v>0.98533264519639174</v>
      </c>
      <c r="CX30" s="84">
        <f t="shared" si="80"/>
        <v>0</v>
      </c>
      <c r="CY30" s="84">
        <f>IF(CX30="","",IF(OR(CX30=1,IF(ISNA(MATCH("מוגן",$I30:CX30,0)),FALSE,TRUE)),1,0))</f>
        <v>0</v>
      </c>
      <c r="CZ30" s="241">
        <f t="shared" si="81"/>
        <v>1.2409674704331823E-2</v>
      </c>
      <c r="DA30" s="241" t="str">
        <f t="shared" si="82"/>
        <v>סיום</v>
      </c>
      <c r="DB30" s="242">
        <f t="shared" si="83"/>
        <v>1.2409674704331823E-2</v>
      </c>
      <c r="DC30" s="240">
        <f t="shared" si="84"/>
        <v>0.98533264519639174</v>
      </c>
      <c r="DD30" s="84">
        <f t="shared" si="85"/>
        <v>0</v>
      </c>
      <c r="DE30" s="84">
        <f>IF(DD30="","",IF(OR(DD30=1,IF(ISNA(MATCH("מוגן",$I30:DD30,0)),FALSE,TRUE)),1,0))</f>
        <v>0</v>
      </c>
      <c r="DF30" s="241">
        <f t="shared" si="86"/>
        <v>1.2409674704331823E-2</v>
      </c>
      <c r="DG30" s="241" t="str">
        <f t="shared" si="87"/>
        <v>סיום</v>
      </c>
      <c r="DH30" s="242">
        <f t="shared" si="88"/>
        <v>1.2409674704331823E-2</v>
      </c>
      <c r="DI30" s="240">
        <f t="shared" si="89"/>
        <v>0.98533264519639174</v>
      </c>
      <c r="DJ30" s="84">
        <f t="shared" si="90"/>
        <v>0</v>
      </c>
      <c r="DK30" s="84">
        <f>IF(DJ30="","",IF(OR(DJ30=1,IF(ISNA(MATCH("מוגן",$I30:DJ30,0)),FALSE,TRUE)),1,0))</f>
        <v>0</v>
      </c>
      <c r="DL30" s="241">
        <f t="shared" si="91"/>
        <v>1.2409674704331823E-2</v>
      </c>
      <c r="DM30" s="241" t="str">
        <f t="shared" si="92"/>
        <v>סיום</v>
      </c>
      <c r="DN30" s="242">
        <f t="shared" si="93"/>
        <v>1.2409674704331823E-2</v>
      </c>
      <c r="DO30" s="240">
        <f t="shared" si="94"/>
        <v>0.98533264519639174</v>
      </c>
      <c r="DP30" s="84">
        <f t="shared" si="95"/>
        <v>0</v>
      </c>
      <c r="DQ30" s="84">
        <f>IF(DP30="","",IF(OR(DP30=1,IF(ISNA(MATCH("מוגן",$I30:DP30,0)),FALSE,TRUE)),1,0))</f>
        <v>0</v>
      </c>
      <c r="DR30" s="241">
        <f t="shared" si="96"/>
        <v>1.2409674704331823E-2</v>
      </c>
      <c r="DS30" s="241" t="str">
        <f t="shared" si="97"/>
        <v>סיום</v>
      </c>
      <c r="DT30" s="242">
        <f t="shared" si="98"/>
        <v>1.2409674704331823E-2</v>
      </c>
      <c r="DU30" s="240">
        <f t="shared" si="99"/>
        <v>0.98533264519639174</v>
      </c>
      <c r="DV30" s="84">
        <f t="shared" si="100"/>
        <v>0</v>
      </c>
      <c r="DW30" s="84">
        <f>IF(DV30="","",IF(OR(DV30=1,IF(ISNA(MATCH("מוגן",$I30:DV30,0)),FALSE,TRUE)),1,0))</f>
        <v>0</v>
      </c>
      <c r="DX30" s="241">
        <f t="shared" si="101"/>
        <v>1.2409674704331823E-2</v>
      </c>
      <c r="DY30" s="241" t="str">
        <f t="shared" si="102"/>
        <v>סיום</v>
      </c>
      <c r="DZ30" s="242">
        <f t="shared" si="103"/>
        <v>1.2409674704331823E-2</v>
      </c>
      <c r="EA30" s="240">
        <f t="shared" si="104"/>
        <v>0.98533264519639174</v>
      </c>
      <c r="EB30" s="84">
        <f t="shared" si="105"/>
        <v>0</v>
      </c>
      <c r="EC30" s="84">
        <f>IF(EB30="","",IF(OR(EB30=1,IF(ISNA(MATCH("מוגן",$I30:EB30,0)),FALSE,TRUE)),1,0))</f>
        <v>0</v>
      </c>
      <c r="ED30" s="241">
        <f t="shared" si="106"/>
        <v>1.2409674704331823E-2</v>
      </c>
      <c r="EE30" s="241" t="str">
        <f t="shared" si="107"/>
        <v>סיום</v>
      </c>
      <c r="EF30" s="242">
        <f t="shared" si="108"/>
        <v>1.2409674704331823E-2</v>
      </c>
      <c r="EG30" s="240">
        <f t="shared" si="109"/>
        <v>0.98533264519639174</v>
      </c>
      <c r="EH30" s="84">
        <f t="shared" si="110"/>
        <v>0</v>
      </c>
      <c r="EI30" s="84">
        <f>IF(EH30="","",IF(OR(EH30=1,IF(ISNA(MATCH("מוגן",$I30:EH30,0)),FALSE,TRUE)),1,0))</f>
        <v>0</v>
      </c>
      <c r="EJ30" s="241">
        <f t="shared" si="111"/>
        <v>1.2409674704331823E-2</v>
      </c>
      <c r="EK30" s="241" t="str">
        <f t="shared" si="112"/>
        <v>סיום</v>
      </c>
      <c r="EL30" s="242">
        <f t="shared" si="113"/>
        <v>1.2409674704331823E-2</v>
      </c>
      <c r="EM30" s="240">
        <f t="shared" si="114"/>
        <v>0.98533264519639174</v>
      </c>
      <c r="EN30" s="84">
        <f t="shared" si="115"/>
        <v>0</v>
      </c>
      <c r="EO30" s="84">
        <f>IF(EN30="","",IF(OR(EN30=1,IF(ISNA(MATCH("מוגן",$I30:EN30,0)),FALSE,TRUE)),1,0))</f>
        <v>0</v>
      </c>
      <c r="EP30" s="241">
        <f t="shared" si="116"/>
        <v>1.2409674704331823E-2</v>
      </c>
      <c r="EQ30" s="241" t="str">
        <f t="shared" si="117"/>
        <v>סיום</v>
      </c>
      <c r="ER30" s="242">
        <f t="shared" si="118"/>
        <v>1.2409674704331823E-2</v>
      </c>
      <c r="ES30" s="240">
        <f t="shared" si="119"/>
        <v>0.98533264519639174</v>
      </c>
      <c r="ET30" s="84">
        <f t="shared" si="120"/>
        <v>0</v>
      </c>
      <c r="EU30" s="84">
        <f>IF(ET30="","",IF(OR(ET30=1,IF(ISNA(MATCH("מוגן",$I30:ET30,0)),FALSE,TRUE)),1,0))</f>
        <v>0</v>
      </c>
      <c r="EV30" s="241">
        <f t="shared" si="121"/>
        <v>1.2409674704331823E-2</v>
      </c>
      <c r="EW30" s="241" t="str">
        <f t="shared" si="122"/>
        <v>סיום</v>
      </c>
      <c r="EX30" s="242">
        <f t="shared" si="123"/>
        <v>1.2409674704331823E-2</v>
      </c>
      <c r="EY30" s="240">
        <f t="shared" si="124"/>
        <v>0.98533264519639174</v>
      </c>
      <c r="EZ30" s="84">
        <f t="shared" si="125"/>
        <v>0</v>
      </c>
      <c r="FA30" s="84">
        <f>IF(EZ30="","",IF(OR(EZ30=1,IF(ISNA(MATCH("מוגן",$I30:EZ30,0)),FALSE,TRUE)),1,0))</f>
        <v>0</v>
      </c>
      <c r="FB30" s="241">
        <f t="shared" si="126"/>
        <v>1.2409674704331823E-2</v>
      </c>
      <c r="FC30" s="241" t="str">
        <f t="shared" si="127"/>
        <v>סיום</v>
      </c>
      <c r="FD30" s="242">
        <f t="shared" si="128"/>
        <v>1.2409674704331823E-2</v>
      </c>
      <c r="FE30" s="240">
        <f t="shared" si="129"/>
        <v>0.98533264519639174</v>
      </c>
      <c r="FF30" s="84">
        <f t="shared" si="130"/>
        <v>0</v>
      </c>
      <c r="FG30" s="84">
        <f>IF(FF30="","",IF(OR(FF30=1,IF(ISNA(MATCH("מוגן",$I30:FF30,0)),FALSE,TRUE)),1,0))</f>
        <v>0</v>
      </c>
      <c r="FH30" s="241">
        <f t="shared" si="131"/>
        <v>1.2409674704331823E-2</v>
      </c>
      <c r="FI30" s="241" t="str">
        <f t="shared" si="132"/>
        <v>סיום</v>
      </c>
      <c r="FJ30" s="242">
        <f t="shared" si="133"/>
        <v>1.2409674704331823E-2</v>
      </c>
      <c r="FK30" s="240">
        <f t="shared" si="134"/>
        <v>0.98533264519639174</v>
      </c>
      <c r="FL30" s="84">
        <f t="shared" si="135"/>
        <v>0</v>
      </c>
      <c r="FM30" s="84">
        <f>IF(FL30="","",IF(OR(FL30=1,IF(ISNA(MATCH("מוגן",$I30:FL30,0)),FALSE,TRUE)),1,0))</f>
        <v>0</v>
      </c>
      <c r="FN30" s="241">
        <f t="shared" si="136"/>
        <v>1.2409674704331823E-2</v>
      </c>
      <c r="FO30" s="241" t="str">
        <f t="shared" si="137"/>
        <v>סיום</v>
      </c>
      <c r="FP30" s="242">
        <f t="shared" si="138"/>
        <v>1.2409674704331823E-2</v>
      </c>
      <c r="FQ30" s="240">
        <f t="shared" si="139"/>
        <v>0.98533264519639174</v>
      </c>
      <c r="FR30" s="84">
        <f t="shared" si="140"/>
        <v>0</v>
      </c>
      <c r="FS30" s="84">
        <f>IF(FR30="","",IF(OR(FR30=1,IF(ISNA(MATCH("מוגן",$I30:FR30,0)),FALSE,TRUE)),1,0))</f>
        <v>0</v>
      </c>
      <c r="FT30" s="241">
        <f t="shared" si="141"/>
        <v>1.2409674704331823E-2</v>
      </c>
      <c r="FU30" s="241" t="str">
        <f t="shared" si="142"/>
        <v>סיום</v>
      </c>
      <c r="FV30" s="242">
        <f t="shared" si="143"/>
        <v>1.2409674704331823E-2</v>
      </c>
      <c r="FW30" s="240">
        <f t="shared" si="144"/>
        <v>0.98533264519639174</v>
      </c>
      <c r="FX30" s="84">
        <f t="shared" si="145"/>
        <v>0</v>
      </c>
      <c r="FY30" s="84">
        <f>IF(FX30="","",IF(OR(FX30=1,IF(ISNA(MATCH("מוגן",$I30:FX30,0)),FALSE,TRUE)),1,0))</f>
        <v>0</v>
      </c>
      <c r="FZ30" s="241">
        <f t="shared" si="146"/>
        <v>1.2409674704331823E-2</v>
      </c>
      <c r="GA30" s="241" t="str">
        <f t="shared" si="147"/>
        <v>סיום</v>
      </c>
      <c r="GB30" s="242">
        <f t="shared" si="148"/>
        <v>1.2409674704331823E-2</v>
      </c>
      <c r="GC30" s="240">
        <f t="shared" si="149"/>
        <v>0.98533264519639174</v>
      </c>
      <c r="GD30" s="84">
        <f t="shared" si="150"/>
        <v>0</v>
      </c>
      <c r="GE30" s="84">
        <f>IF(GD30="","",IF(OR(GD30=1,IF(ISNA(MATCH("מוגן",$I30:GD30,0)),FALSE,TRUE)),1,0))</f>
        <v>0</v>
      </c>
      <c r="GF30" s="241">
        <f t="shared" si="151"/>
        <v>1.2409674704331823E-2</v>
      </c>
      <c r="GG30" s="241" t="str">
        <f t="shared" si="152"/>
        <v>סיום</v>
      </c>
      <c r="GH30" s="242">
        <f t="shared" si="153"/>
        <v>1.2409674704331823E-2</v>
      </c>
      <c r="GI30" s="240">
        <f t="shared" si="154"/>
        <v>0.98533264519639174</v>
      </c>
      <c r="GJ30" s="84">
        <f t="shared" si="155"/>
        <v>0</v>
      </c>
      <c r="GK30" s="84">
        <f>IF(GJ30="","",IF(OR(GJ30=1,IF(ISNA(MATCH("מוגן",$I30:GJ30,0)),FALSE,TRUE)),1,0))</f>
        <v>0</v>
      </c>
      <c r="GL30" s="241">
        <f t="shared" si="156"/>
        <v>1.2409674704331823E-2</v>
      </c>
      <c r="GM30" s="241" t="str">
        <f t="shared" si="157"/>
        <v>סיום</v>
      </c>
      <c r="GN30" s="242">
        <f t="shared" si="158"/>
        <v>1.2409674704331823E-2</v>
      </c>
      <c r="GO30" s="240">
        <f t="shared" si="159"/>
        <v>0.98533264519639174</v>
      </c>
      <c r="GP30" s="84">
        <f t="shared" si="160"/>
        <v>0</v>
      </c>
      <c r="GQ30" s="84">
        <f>IF(GP30="","",IF(OR(GP30=1,IF(ISNA(MATCH("מוגן",$I30:GP30,0)),FALSE,TRUE)),1,0))</f>
        <v>0</v>
      </c>
      <c r="GR30" s="241">
        <f t="shared" si="161"/>
        <v>1.2409674704331823E-2</v>
      </c>
      <c r="GS30" s="241" t="str">
        <f t="shared" si="162"/>
        <v>סיום</v>
      </c>
      <c r="GT30" s="242">
        <f t="shared" si="163"/>
        <v>1.2409674704331823E-2</v>
      </c>
      <c r="GU30" s="240">
        <f t="shared" si="164"/>
        <v>0.98533264519639174</v>
      </c>
      <c r="GV30" s="84">
        <f t="shared" si="165"/>
        <v>0</v>
      </c>
      <c r="GW30" s="84">
        <f>IF(GV30="","",IF(OR(GV30=1,IF(ISNA(MATCH("מוגן",$I30:GV30,0)),FALSE,TRUE)),1,0))</f>
        <v>0</v>
      </c>
      <c r="GX30" s="241">
        <f t="shared" si="166"/>
        <v>1.2409674704331823E-2</v>
      </c>
      <c r="GY30" s="241" t="str">
        <f t="shared" si="167"/>
        <v>סיום</v>
      </c>
      <c r="GZ30" s="242">
        <f t="shared" si="168"/>
        <v>1.2409674704331823E-2</v>
      </c>
      <c r="HA30" s="119">
        <f t="shared" si="169"/>
        <v>1226349.0597766</v>
      </c>
      <c r="HB30" s="246" t="str">
        <f t="shared" si="170"/>
        <v>OK</v>
      </c>
      <c r="HC30" s="244">
        <f t="shared" si="171"/>
        <v>0.98533264519639174</v>
      </c>
      <c r="HD30" s="245">
        <f t="shared" si="172"/>
        <v>1.2409674704331823E-2</v>
      </c>
      <c r="HE30" s="111">
        <f t="shared" si="173"/>
        <v>0</v>
      </c>
      <c r="HF30" s="111">
        <f t="shared" si="174"/>
        <v>1</v>
      </c>
      <c r="HG30" s="111" t="b">
        <f>OR(B30="",ISNA(MATCH(C30,{0,1},0)))</f>
        <v>0</v>
      </c>
    </row>
    <row r="31" spans="1:215">
      <c r="A31" s="120">
        <f>ייצוב!A27</f>
        <v>23</v>
      </c>
      <c r="B31" s="121" t="str">
        <f>ייצוב!B27</f>
        <v>הנפש</v>
      </c>
      <c r="C31" s="67"/>
      <c r="D31" s="240">
        <f>ייצוב!E27</f>
        <v>8.1836318884925836E-3</v>
      </c>
      <c r="E31" s="240">
        <f>ייצוב!G27</f>
        <v>8.2612623861096877E-3</v>
      </c>
      <c r="F31" s="240">
        <f t="shared" si="0"/>
        <v>1.0094860691041425</v>
      </c>
      <c r="G31" s="84">
        <f t="shared" si="1"/>
        <v>0</v>
      </c>
      <c r="H31" s="241">
        <f t="shared" si="2"/>
        <v>8.2612623861096877E-3</v>
      </c>
      <c r="I31" s="241">
        <f t="array" ref="I31">IF(H31="","",IF(G31=1,"מוגן",H31/SUMIF(G$9:G$41,"=0",H$9:H$41)))</f>
        <v>8.2612623861096877E-3</v>
      </c>
      <c r="J31" s="242">
        <f t="shared" si="3"/>
        <v>8.2612623861096877E-3</v>
      </c>
      <c r="K31" s="240">
        <f t="shared" si="4"/>
        <v>1.0094860691041425</v>
      </c>
      <c r="L31" s="84">
        <f t="shared" si="5"/>
        <v>0</v>
      </c>
      <c r="M31" s="84">
        <f>IF(L31="","",IF(OR(L31=1,IF(ISNA(MATCH("מוגן",$I31:L31,0)),FALSE,TRUE)),1,0))</f>
        <v>0</v>
      </c>
      <c r="N31" s="241">
        <f t="shared" si="6"/>
        <v>8.2612623861096877E-3</v>
      </c>
      <c r="O31" s="241" t="str">
        <f t="shared" si="7"/>
        <v>סיום</v>
      </c>
      <c r="P31" s="242">
        <f t="shared" si="8"/>
        <v>8.2612623861096877E-3</v>
      </c>
      <c r="Q31" s="240">
        <f t="shared" si="9"/>
        <v>1.0094860691041425</v>
      </c>
      <c r="R31" s="84">
        <f t="shared" si="10"/>
        <v>0</v>
      </c>
      <c r="S31" s="84">
        <f>IF(R31="","",IF(OR(R31=1,IF(ISNA(MATCH("מוגן",$I31:R31,0)),FALSE,TRUE)),1,0))</f>
        <v>0</v>
      </c>
      <c r="T31" s="241">
        <f t="shared" si="11"/>
        <v>8.2612623861096877E-3</v>
      </c>
      <c r="U31" s="241" t="str">
        <f t="shared" si="12"/>
        <v>סיום</v>
      </c>
      <c r="V31" s="242">
        <f t="shared" si="13"/>
        <v>8.2612623861096877E-3</v>
      </c>
      <c r="W31" s="240">
        <f t="shared" si="14"/>
        <v>1.0094860691041425</v>
      </c>
      <c r="X31" s="84">
        <f t="shared" si="15"/>
        <v>0</v>
      </c>
      <c r="Y31" s="84">
        <f>IF(X31="","",IF(OR(X31=1,IF(ISNA(MATCH("מוגן",$I31:X31,0)),FALSE,TRUE)),1,0))</f>
        <v>0</v>
      </c>
      <c r="Z31" s="241">
        <f t="shared" si="16"/>
        <v>8.2612623861096877E-3</v>
      </c>
      <c r="AA31" s="241" t="str">
        <f t="shared" si="17"/>
        <v>סיום</v>
      </c>
      <c r="AB31" s="242">
        <f t="shared" si="18"/>
        <v>8.2612623861096877E-3</v>
      </c>
      <c r="AC31" s="240">
        <f t="shared" si="19"/>
        <v>1.0094860691041425</v>
      </c>
      <c r="AD31" s="84">
        <f t="shared" si="20"/>
        <v>0</v>
      </c>
      <c r="AE31" s="84">
        <f>IF(AD31="","",IF(OR(AD31=1,IF(ISNA(MATCH("מוגן",$I31:AD31,0)),FALSE,TRUE)),1,0))</f>
        <v>0</v>
      </c>
      <c r="AF31" s="241">
        <f t="shared" si="21"/>
        <v>8.2612623861096877E-3</v>
      </c>
      <c r="AG31" s="241" t="str">
        <f t="shared" si="22"/>
        <v>סיום</v>
      </c>
      <c r="AH31" s="242">
        <f t="shared" si="23"/>
        <v>8.2612623861096877E-3</v>
      </c>
      <c r="AI31" s="240">
        <f t="shared" si="24"/>
        <v>1.0094860691041425</v>
      </c>
      <c r="AJ31" s="84">
        <f t="shared" si="25"/>
        <v>0</v>
      </c>
      <c r="AK31" s="84">
        <f>IF(AJ31="","",IF(OR(AJ31=1,IF(ISNA(MATCH("מוגן",$I31:AJ31,0)),FALSE,TRUE)),1,0))</f>
        <v>0</v>
      </c>
      <c r="AL31" s="241">
        <f t="shared" si="26"/>
        <v>8.2612623861096877E-3</v>
      </c>
      <c r="AM31" s="241" t="str">
        <f t="shared" si="27"/>
        <v>סיום</v>
      </c>
      <c r="AN31" s="242">
        <f t="shared" si="28"/>
        <v>8.2612623861096877E-3</v>
      </c>
      <c r="AO31" s="240">
        <f t="shared" si="29"/>
        <v>1.0094860691041425</v>
      </c>
      <c r="AP31" s="84">
        <f t="shared" si="30"/>
        <v>0</v>
      </c>
      <c r="AQ31" s="84">
        <f>IF(AP31="","",IF(OR(AP31=1,IF(ISNA(MATCH("מוגן",$I31:AP31,0)),FALSE,TRUE)),1,0))</f>
        <v>0</v>
      </c>
      <c r="AR31" s="241">
        <f t="shared" si="31"/>
        <v>8.2612623861096877E-3</v>
      </c>
      <c r="AS31" s="241" t="str">
        <f t="shared" si="32"/>
        <v>סיום</v>
      </c>
      <c r="AT31" s="242">
        <f t="shared" si="33"/>
        <v>8.2612623861096877E-3</v>
      </c>
      <c r="AU31" s="240">
        <f t="shared" si="34"/>
        <v>1.0094860691041425</v>
      </c>
      <c r="AV31" s="84">
        <f t="shared" si="35"/>
        <v>0</v>
      </c>
      <c r="AW31" s="84">
        <f>IF(AV31="","",IF(OR(AV31=1,IF(ISNA(MATCH("מוגן",$I31:AV31,0)),FALSE,TRUE)),1,0))</f>
        <v>0</v>
      </c>
      <c r="AX31" s="241">
        <f t="shared" si="36"/>
        <v>8.2612623861096877E-3</v>
      </c>
      <c r="AY31" s="241" t="str">
        <f t="shared" si="37"/>
        <v>סיום</v>
      </c>
      <c r="AZ31" s="242">
        <f t="shared" si="38"/>
        <v>8.2612623861096877E-3</v>
      </c>
      <c r="BA31" s="240">
        <f t="shared" si="39"/>
        <v>1.0094860691041425</v>
      </c>
      <c r="BB31" s="84">
        <f t="shared" si="40"/>
        <v>0</v>
      </c>
      <c r="BC31" s="84">
        <f>IF(BB31="","",IF(OR(BB31=1,IF(ISNA(MATCH("מוגן",$I31:BB31,0)),FALSE,TRUE)),1,0))</f>
        <v>0</v>
      </c>
      <c r="BD31" s="241">
        <f t="shared" si="41"/>
        <v>8.2612623861096877E-3</v>
      </c>
      <c r="BE31" s="241" t="str">
        <f t="shared" si="42"/>
        <v>סיום</v>
      </c>
      <c r="BF31" s="242">
        <f t="shared" si="43"/>
        <v>8.2612623861096877E-3</v>
      </c>
      <c r="BG31" s="240">
        <f t="shared" si="44"/>
        <v>1.0094860691041425</v>
      </c>
      <c r="BH31" s="84">
        <f t="shared" si="45"/>
        <v>0</v>
      </c>
      <c r="BI31" s="84">
        <f>IF(BH31="","",IF(OR(BH31=1,IF(ISNA(MATCH("מוגן",$I31:BH31,0)),FALSE,TRUE)),1,0))</f>
        <v>0</v>
      </c>
      <c r="BJ31" s="241">
        <f t="shared" si="46"/>
        <v>8.2612623861096877E-3</v>
      </c>
      <c r="BK31" s="241" t="str">
        <f t="shared" si="47"/>
        <v>סיום</v>
      </c>
      <c r="BL31" s="242">
        <f t="shared" si="48"/>
        <v>8.2612623861096877E-3</v>
      </c>
      <c r="BM31" s="240">
        <f t="shared" si="49"/>
        <v>1.0094860691041425</v>
      </c>
      <c r="BN31" s="84">
        <f t="shared" si="50"/>
        <v>0</v>
      </c>
      <c r="BO31" s="84">
        <f>IF(BN31="","",IF(OR(BN31=1,IF(ISNA(MATCH("מוגן",$I31:BN31,0)),FALSE,TRUE)),1,0))</f>
        <v>0</v>
      </c>
      <c r="BP31" s="241">
        <f t="shared" si="51"/>
        <v>8.2612623861096877E-3</v>
      </c>
      <c r="BQ31" s="241" t="str">
        <f t="shared" si="52"/>
        <v>סיום</v>
      </c>
      <c r="BR31" s="242">
        <f t="shared" si="53"/>
        <v>8.2612623861096877E-3</v>
      </c>
      <c r="BS31" s="240">
        <f t="shared" si="54"/>
        <v>1.0094860691041425</v>
      </c>
      <c r="BT31" s="84">
        <f t="shared" si="55"/>
        <v>0</v>
      </c>
      <c r="BU31" s="84">
        <f>IF(BT31="","",IF(OR(BT31=1,IF(ISNA(MATCH("מוגן",$I31:BT31,0)),FALSE,TRUE)),1,0))</f>
        <v>0</v>
      </c>
      <c r="BV31" s="241">
        <f t="shared" si="56"/>
        <v>8.2612623861096877E-3</v>
      </c>
      <c r="BW31" s="241" t="str">
        <f t="shared" si="57"/>
        <v>סיום</v>
      </c>
      <c r="BX31" s="242">
        <f t="shared" si="58"/>
        <v>8.2612623861096877E-3</v>
      </c>
      <c r="BY31" s="240">
        <f t="shared" si="59"/>
        <v>1.0094860691041425</v>
      </c>
      <c r="BZ31" s="84">
        <f t="shared" si="60"/>
        <v>0</v>
      </c>
      <c r="CA31" s="84">
        <f>IF(BZ31="","",IF(OR(BZ31=1,IF(ISNA(MATCH("מוגן",$I31:BZ31,0)),FALSE,TRUE)),1,0))</f>
        <v>0</v>
      </c>
      <c r="CB31" s="241">
        <f t="shared" si="61"/>
        <v>8.2612623861096877E-3</v>
      </c>
      <c r="CC31" s="241" t="str">
        <f t="shared" si="62"/>
        <v>סיום</v>
      </c>
      <c r="CD31" s="242">
        <f t="shared" si="63"/>
        <v>8.2612623861096877E-3</v>
      </c>
      <c r="CE31" s="240">
        <f t="shared" si="64"/>
        <v>1.0094860691041425</v>
      </c>
      <c r="CF31" s="84">
        <f t="shared" si="65"/>
        <v>0</v>
      </c>
      <c r="CG31" s="84">
        <f>IF(CF31="","",IF(OR(CF31=1,IF(ISNA(MATCH("מוגן",$I31:CF31,0)),FALSE,TRUE)),1,0))</f>
        <v>0</v>
      </c>
      <c r="CH31" s="241">
        <f t="shared" si="66"/>
        <v>8.2612623861096877E-3</v>
      </c>
      <c r="CI31" s="241" t="str">
        <f t="shared" si="67"/>
        <v>סיום</v>
      </c>
      <c r="CJ31" s="242">
        <f t="shared" si="68"/>
        <v>8.2612623861096877E-3</v>
      </c>
      <c r="CK31" s="240">
        <f t="shared" si="69"/>
        <v>1.0094860691041425</v>
      </c>
      <c r="CL31" s="84">
        <f t="shared" si="70"/>
        <v>0</v>
      </c>
      <c r="CM31" s="84">
        <f>IF(CL31="","",IF(OR(CL31=1,IF(ISNA(MATCH("מוגן",$I31:CL31,0)),FALSE,TRUE)),1,0))</f>
        <v>0</v>
      </c>
      <c r="CN31" s="241">
        <f t="shared" si="71"/>
        <v>8.2612623861096877E-3</v>
      </c>
      <c r="CO31" s="241" t="str">
        <f t="shared" si="72"/>
        <v>סיום</v>
      </c>
      <c r="CP31" s="242">
        <f t="shared" si="73"/>
        <v>8.2612623861096877E-3</v>
      </c>
      <c r="CQ31" s="240">
        <f t="shared" si="74"/>
        <v>1.0094860691041425</v>
      </c>
      <c r="CR31" s="84">
        <f t="shared" si="75"/>
        <v>0</v>
      </c>
      <c r="CS31" s="84">
        <f>IF(CR31="","",IF(OR(CR31=1,IF(ISNA(MATCH("מוגן",$I31:CR31,0)),FALSE,TRUE)),1,0))</f>
        <v>0</v>
      </c>
      <c r="CT31" s="241">
        <f t="shared" si="76"/>
        <v>8.2612623861096877E-3</v>
      </c>
      <c r="CU31" s="241" t="str">
        <f t="shared" si="77"/>
        <v>סיום</v>
      </c>
      <c r="CV31" s="242">
        <f t="shared" si="78"/>
        <v>8.2612623861096877E-3</v>
      </c>
      <c r="CW31" s="240">
        <f t="shared" si="79"/>
        <v>1.0094860691041425</v>
      </c>
      <c r="CX31" s="84">
        <f t="shared" si="80"/>
        <v>0</v>
      </c>
      <c r="CY31" s="84">
        <f>IF(CX31="","",IF(OR(CX31=1,IF(ISNA(MATCH("מוגן",$I31:CX31,0)),FALSE,TRUE)),1,0))</f>
        <v>0</v>
      </c>
      <c r="CZ31" s="241">
        <f t="shared" si="81"/>
        <v>8.2612623861096877E-3</v>
      </c>
      <c r="DA31" s="241" t="str">
        <f t="shared" si="82"/>
        <v>סיום</v>
      </c>
      <c r="DB31" s="242">
        <f t="shared" si="83"/>
        <v>8.2612623861096877E-3</v>
      </c>
      <c r="DC31" s="240">
        <f t="shared" si="84"/>
        <v>1.0094860691041425</v>
      </c>
      <c r="DD31" s="84">
        <f t="shared" si="85"/>
        <v>0</v>
      </c>
      <c r="DE31" s="84">
        <f>IF(DD31="","",IF(OR(DD31=1,IF(ISNA(MATCH("מוגן",$I31:DD31,0)),FALSE,TRUE)),1,0))</f>
        <v>0</v>
      </c>
      <c r="DF31" s="241">
        <f t="shared" si="86"/>
        <v>8.2612623861096877E-3</v>
      </c>
      <c r="DG31" s="241" t="str">
        <f t="shared" si="87"/>
        <v>סיום</v>
      </c>
      <c r="DH31" s="242">
        <f t="shared" si="88"/>
        <v>8.2612623861096877E-3</v>
      </c>
      <c r="DI31" s="240">
        <f t="shared" si="89"/>
        <v>1.0094860691041425</v>
      </c>
      <c r="DJ31" s="84">
        <f t="shared" si="90"/>
        <v>0</v>
      </c>
      <c r="DK31" s="84">
        <f>IF(DJ31="","",IF(OR(DJ31=1,IF(ISNA(MATCH("מוגן",$I31:DJ31,0)),FALSE,TRUE)),1,0))</f>
        <v>0</v>
      </c>
      <c r="DL31" s="241">
        <f t="shared" si="91"/>
        <v>8.2612623861096877E-3</v>
      </c>
      <c r="DM31" s="241" t="str">
        <f t="shared" si="92"/>
        <v>סיום</v>
      </c>
      <c r="DN31" s="242">
        <f t="shared" si="93"/>
        <v>8.2612623861096877E-3</v>
      </c>
      <c r="DO31" s="240">
        <f t="shared" si="94"/>
        <v>1.0094860691041425</v>
      </c>
      <c r="DP31" s="84">
        <f t="shared" si="95"/>
        <v>0</v>
      </c>
      <c r="DQ31" s="84">
        <f>IF(DP31="","",IF(OR(DP31=1,IF(ISNA(MATCH("מוגן",$I31:DP31,0)),FALSE,TRUE)),1,0))</f>
        <v>0</v>
      </c>
      <c r="DR31" s="241">
        <f t="shared" si="96"/>
        <v>8.2612623861096877E-3</v>
      </c>
      <c r="DS31" s="241" t="str">
        <f t="shared" si="97"/>
        <v>סיום</v>
      </c>
      <c r="DT31" s="242">
        <f t="shared" si="98"/>
        <v>8.2612623861096877E-3</v>
      </c>
      <c r="DU31" s="240">
        <f t="shared" si="99"/>
        <v>1.0094860691041425</v>
      </c>
      <c r="DV31" s="84">
        <f t="shared" si="100"/>
        <v>0</v>
      </c>
      <c r="DW31" s="84">
        <f>IF(DV31="","",IF(OR(DV31=1,IF(ISNA(MATCH("מוגן",$I31:DV31,0)),FALSE,TRUE)),1,0))</f>
        <v>0</v>
      </c>
      <c r="DX31" s="241">
        <f t="shared" si="101"/>
        <v>8.2612623861096877E-3</v>
      </c>
      <c r="DY31" s="241" t="str">
        <f t="shared" si="102"/>
        <v>סיום</v>
      </c>
      <c r="DZ31" s="242">
        <f t="shared" si="103"/>
        <v>8.2612623861096877E-3</v>
      </c>
      <c r="EA31" s="240">
        <f t="shared" si="104"/>
        <v>1.0094860691041425</v>
      </c>
      <c r="EB31" s="84">
        <f t="shared" si="105"/>
        <v>0</v>
      </c>
      <c r="EC31" s="84">
        <f>IF(EB31="","",IF(OR(EB31=1,IF(ISNA(MATCH("מוגן",$I31:EB31,0)),FALSE,TRUE)),1,0))</f>
        <v>0</v>
      </c>
      <c r="ED31" s="241">
        <f t="shared" si="106"/>
        <v>8.2612623861096877E-3</v>
      </c>
      <c r="EE31" s="241" t="str">
        <f t="shared" si="107"/>
        <v>סיום</v>
      </c>
      <c r="EF31" s="242">
        <f t="shared" si="108"/>
        <v>8.2612623861096877E-3</v>
      </c>
      <c r="EG31" s="240">
        <f t="shared" si="109"/>
        <v>1.0094860691041425</v>
      </c>
      <c r="EH31" s="84">
        <f t="shared" si="110"/>
        <v>0</v>
      </c>
      <c r="EI31" s="84">
        <f>IF(EH31="","",IF(OR(EH31=1,IF(ISNA(MATCH("מוגן",$I31:EH31,0)),FALSE,TRUE)),1,0))</f>
        <v>0</v>
      </c>
      <c r="EJ31" s="241">
        <f t="shared" si="111"/>
        <v>8.2612623861096877E-3</v>
      </c>
      <c r="EK31" s="241" t="str">
        <f t="shared" si="112"/>
        <v>סיום</v>
      </c>
      <c r="EL31" s="242">
        <f t="shared" si="113"/>
        <v>8.2612623861096877E-3</v>
      </c>
      <c r="EM31" s="240">
        <f t="shared" si="114"/>
        <v>1.0094860691041425</v>
      </c>
      <c r="EN31" s="84">
        <f t="shared" si="115"/>
        <v>0</v>
      </c>
      <c r="EO31" s="84">
        <f>IF(EN31="","",IF(OR(EN31=1,IF(ISNA(MATCH("מוגן",$I31:EN31,0)),FALSE,TRUE)),1,0))</f>
        <v>0</v>
      </c>
      <c r="EP31" s="241">
        <f t="shared" si="116"/>
        <v>8.2612623861096877E-3</v>
      </c>
      <c r="EQ31" s="241" t="str">
        <f t="shared" si="117"/>
        <v>סיום</v>
      </c>
      <c r="ER31" s="242">
        <f t="shared" si="118"/>
        <v>8.2612623861096877E-3</v>
      </c>
      <c r="ES31" s="240">
        <f t="shared" si="119"/>
        <v>1.0094860691041425</v>
      </c>
      <c r="ET31" s="84">
        <f t="shared" si="120"/>
        <v>0</v>
      </c>
      <c r="EU31" s="84">
        <f>IF(ET31="","",IF(OR(ET31=1,IF(ISNA(MATCH("מוגן",$I31:ET31,0)),FALSE,TRUE)),1,0))</f>
        <v>0</v>
      </c>
      <c r="EV31" s="241">
        <f t="shared" si="121"/>
        <v>8.2612623861096877E-3</v>
      </c>
      <c r="EW31" s="241" t="str">
        <f t="shared" si="122"/>
        <v>סיום</v>
      </c>
      <c r="EX31" s="242">
        <f t="shared" si="123"/>
        <v>8.2612623861096877E-3</v>
      </c>
      <c r="EY31" s="240">
        <f t="shared" si="124"/>
        <v>1.0094860691041425</v>
      </c>
      <c r="EZ31" s="84">
        <f t="shared" si="125"/>
        <v>0</v>
      </c>
      <c r="FA31" s="84">
        <f>IF(EZ31="","",IF(OR(EZ31=1,IF(ISNA(MATCH("מוגן",$I31:EZ31,0)),FALSE,TRUE)),1,0))</f>
        <v>0</v>
      </c>
      <c r="FB31" s="241">
        <f t="shared" si="126"/>
        <v>8.2612623861096877E-3</v>
      </c>
      <c r="FC31" s="241" t="str">
        <f t="shared" si="127"/>
        <v>סיום</v>
      </c>
      <c r="FD31" s="242">
        <f t="shared" si="128"/>
        <v>8.2612623861096877E-3</v>
      </c>
      <c r="FE31" s="240">
        <f t="shared" si="129"/>
        <v>1.0094860691041425</v>
      </c>
      <c r="FF31" s="84">
        <f t="shared" si="130"/>
        <v>0</v>
      </c>
      <c r="FG31" s="84">
        <f>IF(FF31="","",IF(OR(FF31=1,IF(ISNA(MATCH("מוגן",$I31:FF31,0)),FALSE,TRUE)),1,0))</f>
        <v>0</v>
      </c>
      <c r="FH31" s="241">
        <f t="shared" si="131"/>
        <v>8.2612623861096877E-3</v>
      </c>
      <c r="FI31" s="241" t="str">
        <f t="shared" si="132"/>
        <v>סיום</v>
      </c>
      <c r="FJ31" s="242">
        <f t="shared" si="133"/>
        <v>8.2612623861096877E-3</v>
      </c>
      <c r="FK31" s="240">
        <f t="shared" si="134"/>
        <v>1.0094860691041425</v>
      </c>
      <c r="FL31" s="84">
        <f t="shared" si="135"/>
        <v>0</v>
      </c>
      <c r="FM31" s="84">
        <f>IF(FL31="","",IF(OR(FL31=1,IF(ISNA(MATCH("מוגן",$I31:FL31,0)),FALSE,TRUE)),1,0))</f>
        <v>0</v>
      </c>
      <c r="FN31" s="241">
        <f t="shared" si="136"/>
        <v>8.2612623861096877E-3</v>
      </c>
      <c r="FO31" s="241" t="str">
        <f t="shared" si="137"/>
        <v>סיום</v>
      </c>
      <c r="FP31" s="242">
        <f t="shared" si="138"/>
        <v>8.2612623861096877E-3</v>
      </c>
      <c r="FQ31" s="240">
        <f t="shared" si="139"/>
        <v>1.0094860691041425</v>
      </c>
      <c r="FR31" s="84">
        <f t="shared" si="140"/>
        <v>0</v>
      </c>
      <c r="FS31" s="84">
        <f>IF(FR31="","",IF(OR(FR31=1,IF(ISNA(MATCH("מוגן",$I31:FR31,0)),FALSE,TRUE)),1,0))</f>
        <v>0</v>
      </c>
      <c r="FT31" s="241">
        <f t="shared" si="141"/>
        <v>8.2612623861096877E-3</v>
      </c>
      <c r="FU31" s="241" t="str">
        <f t="shared" si="142"/>
        <v>סיום</v>
      </c>
      <c r="FV31" s="242">
        <f t="shared" si="143"/>
        <v>8.2612623861096877E-3</v>
      </c>
      <c r="FW31" s="240">
        <f t="shared" si="144"/>
        <v>1.0094860691041425</v>
      </c>
      <c r="FX31" s="84">
        <f t="shared" si="145"/>
        <v>0</v>
      </c>
      <c r="FY31" s="84">
        <f>IF(FX31="","",IF(OR(FX31=1,IF(ISNA(MATCH("מוגן",$I31:FX31,0)),FALSE,TRUE)),1,0))</f>
        <v>0</v>
      </c>
      <c r="FZ31" s="241">
        <f t="shared" si="146"/>
        <v>8.2612623861096877E-3</v>
      </c>
      <c r="GA31" s="241" t="str">
        <f t="shared" si="147"/>
        <v>סיום</v>
      </c>
      <c r="GB31" s="242">
        <f t="shared" si="148"/>
        <v>8.2612623861096877E-3</v>
      </c>
      <c r="GC31" s="240">
        <f t="shared" si="149"/>
        <v>1.0094860691041425</v>
      </c>
      <c r="GD31" s="84">
        <f t="shared" si="150"/>
        <v>0</v>
      </c>
      <c r="GE31" s="84">
        <f>IF(GD31="","",IF(OR(GD31=1,IF(ISNA(MATCH("מוגן",$I31:GD31,0)),FALSE,TRUE)),1,0))</f>
        <v>0</v>
      </c>
      <c r="GF31" s="241">
        <f t="shared" si="151"/>
        <v>8.2612623861096877E-3</v>
      </c>
      <c r="GG31" s="241" t="str">
        <f t="shared" si="152"/>
        <v>סיום</v>
      </c>
      <c r="GH31" s="242">
        <f t="shared" si="153"/>
        <v>8.2612623861096877E-3</v>
      </c>
      <c r="GI31" s="240">
        <f t="shared" si="154"/>
        <v>1.0094860691041425</v>
      </c>
      <c r="GJ31" s="84">
        <f t="shared" si="155"/>
        <v>0</v>
      </c>
      <c r="GK31" s="84">
        <f>IF(GJ31="","",IF(OR(GJ31=1,IF(ISNA(MATCH("מוגן",$I31:GJ31,0)),FALSE,TRUE)),1,0))</f>
        <v>0</v>
      </c>
      <c r="GL31" s="241">
        <f t="shared" si="156"/>
        <v>8.2612623861096877E-3</v>
      </c>
      <c r="GM31" s="241" t="str">
        <f t="shared" si="157"/>
        <v>סיום</v>
      </c>
      <c r="GN31" s="242">
        <f t="shared" si="158"/>
        <v>8.2612623861096877E-3</v>
      </c>
      <c r="GO31" s="240">
        <f t="shared" si="159"/>
        <v>1.0094860691041425</v>
      </c>
      <c r="GP31" s="84">
        <f t="shared" si="160"/>
        <v>0</v>
      </c>
      <c r="GQ31" s="84">
        <f>IF(GP31="","",IF(OR(GP31=1,IF(ISNA(MATCH("מוגן",$I31:GP31,0)),FALSE,TRUE)),1,0))</f>
        <v>0</v>
      </c>
      <c r="GR31" s="241">
        <f t="shared" si="161"/>
        <v>8.2612623861096877E-3</v>
      </c>
      <c r="GS31" s="241" t="str">
        <f t="shared" si="162"/>
        <v>סיום</v>
      </c>
      <c r="GT31" s="242">
        <f t="shared" si="163"/>
        <v>8.2612623861096877E-3</v>
      </c>
      <c r="GU31" s="240">
        <f t="shared" si="164"/>
        <v>1.0094860691041425</v>
      </c>
      <c r="GV31" s="84">
        <f t="shared" si="165"/>
        <v>0</v>
      </c>
      <c r="GW31" s="84">
        <f>IF(GV31="","",IF(OR(GV31=1,IF(ISNA(MATCH("מוגן",$I31:GV31,0)),FALSE,TRUE)),1,0))</f>
        <v>0</v>
      </c>
      <c r="GX31" s="241">
        <f t="shared" si="166"/>
        <v>8.2612623861096877E-3</v>
      </c>
      <c r="GY31" s="241" t="str">
        <f t="shared" si="167"/>
        <v>סיום</v>
      </c>
      <c r="GZ31" s="242">
        <f t="shared" si="168"/>
        <v>8.2612623861096877E-3</v>
      </c>
      <c r="HA31" s="119">
        <f t="shared" si="169"/>
        <v>816394.59543906734</v>
      </c>
      <c r="HB31" s="246" t="str">
        <f t="shared" si="170"/>
        <v>OK</v>
      </c>
      <c r="HC31" s="244">
        <f t="shared" si="171"/>
        <v>1.0094860691041425</v>
      </c>
      <c r="HD31" s="245">
        <f t="shared" si="172"/>
        <v>8.2612623861096877E-3</v>
      </c>
      <c r="HE31" s="111">
        <f t="shared" si="173"/>
        <v>0</v>
      </c>
      <c r="HF31" s="111">
        <f t="shared" si="174"/>
        <v>1</v>
      </c>
      <c r="HG31" s="111" t="b">
        <f>OR(B31="",ISNA(MATCH(C31,{0,1},0)))</f>
        <v>0</v>
      </c>
    </row>
    <row r="32" spans="1:215">
      <c r="A32" s="120">
        <f>ייצוב!A28</f>
        <v>24</v>
      </c>
      <c r="B32" s="121" t="str">
        <f>ייצוב!B28</f>
        <v>השעה</v>
      </c>
      <c r="C32" s="67"/>
      <c r="D32" s="240">
        <f>ייצוב!E28</f>
        <v>3.3333786828157193E-2</v>
      </c>
      <c r="E32" s="240">
        <f>ייצוב!G28</f>
        <v>4.0375880648594084E-2</v>
      </c>
      <c r="F32" s="240">
        <f t="shared" si="0"/>
        <v>1.2112599404544222</v>
      </c>
      <c r="G32" s="84">
        <f t="shared" si="1"/>
        <v>0</v>
      </c>
      <c r="H32" s="241">
        <f t="shared" si="2"/>
        <v>4.0375880648594084E-2</v>
      </c>
      <c r="I32" s="241">
        <f t="array" ref="I32">IF(H32="","",IF(G32=1,"מוגן",H32/SUMIF(G$9:G$41,"=0",H$9:H$41)))</f>
        <v>4.0375880648594084E-2</v>
      </c>
      <c r="J32" s="242">
        <f t="shared" si="3"/>
        <v>4.0375880648594084E-2</v>
      </c>
      <c r="K32" s="240">
        <f t="shared" si="4"/>
        <v>1.2112599404544222</v>
      </c>
      <c r="L32" s="84">
        <f t="shared" si="5"/>
        <v>0</v>
      </c>
      <c r="M32" s="84">
        <f>IF(L32="","",IF(OR(L32=1,IF(ISNA(MATCH("מוגן",$I32:L32,0)),FALSE,TRUE)),1,0))</f>
        <v>0</v>
      </c>
      <c r="N32" s="241">
        <f t="shared" si="6"/>
        <v>4.0375880648594084E-2</v>
      </c>
      <c r="O32" s="241" t="str">
        <f t="shared" si="7"/>
        <v>סיום</v>
      </c>
      <c r="P32" s="242">
        <f t="shared" si="8"/>
        <v>4.0375880648594084E-2</v>
      </c>
      <c r="Q32" s="240">
        <f t="shared" si="9"/>
        <v>1.2112599404544222</v>
      </c>
      <c r="R32" s="84">
        <f t="shared" si="10"/>
        <v>0</v>
      </c>
      <c r="S32" s="84">
        <f>IF(R32="","",IF(OR(R32=1,IF(ISNA(MATCH("מוגן",$I32:R32,0)),FALSE,TRUE)),1,0))</f>
        <v>0</v>
      </c>
      <c r="T32" s="241">
        <f t="shared" si="11"/>
        <v>4.0375880648594084E-2</v>
      </c>
      <c r="U32" s="241" t="str">
        <f t="shared" si="12"/>
        <v>סיום</v>
      </c>
      <c r="V32" s="242">
        <f t="shared" si="13"/>
        <v>4.0375880648594084E-2</v>
      </c>
      <c r="W32" s="240">
        <f t="shared" si="14"/>
        <v>1.2112599404544222</v>
      </c>
      <c r="X32" s="84">
        <f t="shared" si="15"/>
        <v>0</v>
      </c>
      <c r="Y32" s="84">
        <f>IF(X32="","",IF(OR(X32=1,IF(ISNA(MATCH("מוגן",$I32:X32,0)),FALSE,TRUE)),1,0))</f>
        <v>0</v>
      </c>
      <c r="Z32" s="241">
        <f t="shared" si="16"/>
        <v>4.0375880648594084E-2</v>
      </c>
      <c r="AA32" s="241" t="str">
        <f t="shared" si="17"/>
        <v>סיום</v>
      </c>
      <c r="AB32" s="242">
        <f t="shared" si="18"/>
        <v>4.0375880648594084E-2</v>
      </c>
      <c r="AC32" s="240">
        <f t="shared" si="19"/>
        <v>1.2112599404544222</v>
      </c>
      <c r="AD32" s="84">
        <f t="shared" si="20"/>
        <v>0</v>
      </c>
      <c r="AE32" s="84">
        <f>IF(AD32="","",IF(OR(AD32=1,IF(ISNA(MATCH("מוגן",$I32:AD32,0)),FALSE,TRUE)),1,0))</f>
        <v>0</v>
      </c>
      <c r="AF32" s="241">
        <f t="shared" si="21"/>
        <v>4.0375880648594084E-2</v>
      </c>
      <c r="AG32" s="241" t="str">
        <f t="shared" si="22"/>
        <v>סיום</v>
      </c>
      <c r="AH32" s="242">
        <f t="shared" si="23"/>
        <v>4.0375880648594084E-2</v>
      </c>
      <c r="AI32" s="240">
        <f t="shared" si="24"/>
        <v>1.2112599404544222</v>
      </c>
      <c r="AJ32" s="84">
        <f t="shared" si="25"/>
        <v>0</v>
      </c>
      <c r="AK32" s="84">
        <f>IF(AJ32="","",IF(OR(AJ32=1,IF(ISNA(MATCH("מוגן",$I32:AJ32,0)),FALSE,TRUE)),1,0))</f>
        <v>0</v>
      </c>
      <c r="AL32" s="241">
        <f t="shared" si="26"/>
        <v>4.0375880648594084E-2</v>
      </c>
      <c r="AM32" s="241" t="str">
        <f t="shared" si="27"/>
        <v>סיום</v>
      </c>
      <c r="AN32" s="242">
        <f t="shared" si="28"/>
        <v>4.0375880648594084E-2</v>
      </c>
      <c r="AO32" s="240">
        <f t="shared" si="29"/>
        <v>1.2112599404544222</v>
      </c>
      <c r="AP32" s="84">
        <f t="shared" si="30"/>
        <v>0</v>
      </c>
      <c r="AQ32" s="84">
        <f>IF(AP32="","",IF(OR(AP32=1,IF(ISNA(MATCH("מוגן",$I32:AP32,0)),FALSE,TRUE)),1,0))</f>
        <v>0</v>
      </c>
      <c r="AR32" s="241">
        <f t="shared" si="31"/>
        <v>4.0375880648594084E-2</v>
      </c>
      <c r="AS32" s="241" t="str">
        <f t="shared" si="32"/>
        <v>סיום</v>
      </c>
      <c r="AT32" s="242">
        <f t="shared" si="33"/>
        <v>4.0375880648594084E-2</v>
      </c>
      <c r="AU32" s="240">
        <f t="shared" si="34"/>
        <v>1.2112599404544222</v>
      </c>
      <c r="AV32" s="84">
        <f t="shared" si="35"/>
        <v>0</v>
      </c>
      <c r="AW32" s="84">
        <f>IF(AV32="","",IF(OR(AV32=1,IF(ISNA(MATCH("מוגן",$I32:AV32,0)),FALSE,TRUE)),1,0))</f>
        <v>0</v>
      </c>
      <c r="AX32" s="241">
        <f t="shared" si="36"/>
        <v>4.0375880648594084E-2</v>
      </c>
      <c r="AY32" s="241" t="str">
        <f t="shared" si="37"/>
        <v>סיום</v>
      </c>
      <c r="AZ32" s="242">
        <f t="shared" si="38"/>
        <v>4.0375880648594084E-2</v>
      </c>
      <c r="BA32" s="240">
        <f t="shared" si="39"/>
        <v>1.2112599404544222</v>
      </c>
      <c r="BB32" s="84">
        <f t="shared" si="40"/>
        <v>0</v>
      </c>
      <c r="BC32" s="84">
        <f>IF(BB32="","",IF(OR(BB32=1,IF(ISNA(MATCH("מוגן",$I32:BB32,0)),FALSE,TRUE)),1,0))</f>
        <v>0</v>
      </c>
      <c r="BD32" s="241">
        <f t="shared" si="41"/>
        <v>4.0375880648594084E-2</v>
      </c>
      <c r="BE32" s="241" t="str">
        <f t="shared" si="42"/>
        <v>סיום</v>
      </c>
      <c r="BF32" s="242">
        <f t="shared" si="43"/>
        <v>4.0375880648594084E-2</v>
      </c>
      <c r="BG32" s="240">
        <f t="shared" si="44"/>
        <v>1.2112599404544222</v>
      </c>
      <c r="BH32" s="84">
        <f t="shared" si="45"/>
        <v>0</v>
      </c>
      <c r="BI32" s="84">
        <f>IF(BH32="","",IF(OR(BH32=1,IF(ISNA(MATCH("מוגן",$I32:BH32,0)),FALSE,TRUE)),1,0))</f>
        <v>0</v>
      </c>
      <c r="BJ32" s="241">
        <f t="shared" si="46"/>
        <v>4.0375880648594084E-2</v>
      </c>
      <c r="BK32" s="241" t="str">
        <f t="shared" si="47"/>
        <v>סיום</v>
      </c>
      <c r="BL32" s="242">
        <f t="shared" si="48"/>
        <v>4.0375880648594084E-2</v>
      </c>
      <c r="BM32" s="240">
        <f t="shared" si="49"/>
        <v>1.2112599404544222</v>
      </c>
      <c r="BN32" s="84">
        <f t="shared" si="50"/>
        <v>0</v>
      </c>
      <c r="BO32" s="84">
        <f>IF(BN32="","",IF(OR(BN32=1,IF(ISNA(MATCH("מוגן",$I32:BN32,0)),FALSE,TRUE)),1,0))</f>
        <v>0</v>
      </c>
      <c r="BP32" s="241">
        <f t="shared" si="51"/>
        <v>4.0375880648594084E-2</v>
      </c>
      <c r="BQ32" s="241" t="str">
        <f t="shared" si="52"/>
        <v>סיום</v>
      </c>
      <c r="BR32" s="242">
        <f t="shared" si="53"/>
        <v>4.0375880648594084E-2</v>
      </c>
      <c r="BS32" s="240">
        <f t="shared" si="54"/>
        <v>1.2112599404544222</v>
      </c>
      <c r="BT32" s="84">
        <f t="shared" si="55"/>
        <v>0</v>
      </c>
      <c r="BU32" s="84">
        <f>IF(BT32="","",IF(OR(BT32=1,IF(ISNA(MATCH("מוגן",$I32:BT32,0)),FALSE,TRUE)),1,0))</f>
        <v>0</v>
      </c>
      <c r="BV32" s="241">
        <f t="shared" si="56"/>
        <v>4.0375880648594084E-2</v>
      </c>
      <c r="BW32" s="241" t="str">
        <f t="shared" si="57"/>
        <v>סיום</v>
      </c>
      <c r="BX32" s="242">
        <f t="shared" si="58"/>
        <v>4.0375880648594084E-2</v>
      </c>
      <c r="BY32" s="240">
        <f t="shared" si="59"/>
        <v>1.2112599404544222</v>
      </c>
      <c r="BZ32" s="84">
        <f t="shared" si="60"/>
        <v>0</v>
      </c>
      <c r="CA32" s="84">
        <f>IF(BZ32="","",IF(OR(BZ32=1,IF(ISNA(MATCH("מוגן",$I32:BZ32,0)),FALSE,TRUE)),1,0))</f>
        <v>0</v>
      </c>
      <c r="CB32" s="241">
        <f t="shared" si="61"/>
        <v>4.0375880648594084E-2</v>
      </c>
      <c r="CC32" s="241" t="str">
        <f t="shared" si="62"/>
        <v>סיום</v>
      </c>
      <c r="CD32" s="242">
        <f t="shared" si="63"/>
        <v>4.0375880648594084E-2</v>
      </c>
      <c r="CE32" s="240">
        <f t="shared" si="64"/>
        <v>1.2112599404544222</v>
      </c>
      <c r="CF32" s="84">
        <f t="shared" si="65"/>
        <v>0</v>
      </c>
      <c r="CG32" s="84">
        <f>IF(CF32="","",IF(OR(CF32=1,IF(ISNA(MATCH("מוגן",$I32:CF32,0)),FALSE,TRUE)),1,0))</f>
        <v>0</v>
      </c>
      <c r="CH32" s="241">
        <f t="shared" si="66"/>
        <v>4.0375880648594084E-2</v>
      </c>
      <c r="CI32" s="241" t="str">
        <f t="shared" si="67"/>
        <v>סיום</v>
      </c>
      <c r="CJ32" s="242">
        <f t="shared" si="68"/>
        <v>4.0375880648594084E-2</v>
      </c>
      <c r="CK32" s="240">
        <f t="shared" si="69"/>
        <v>1.2112599404544222</v>
      </c>
      <c r="CL32" s="84">
        <f t="shared" si="70"/>
        <v>0</v>
      </c>
      <c r="CM32" s="84">
        <f>IF(CL32="","",IF(OR(CL32=1,IF(ISNA(MATCH("מוגן",$I32:CL32,0)),FALSE,TRUE)),1,0))</f>
        <v>0</v>
      </c>
      <c r="CN32" s="241">
        <f t="shared" si="71"/>
        <v>4.0375880648594084E-2</v>
      </c>
      <c r="CO32" s="241" t="str">
        <f t="shared" si="72"/>
        <v>סיום</v>
      </c>
      <c r="CP32" s="242">
        <f t="shared" si="73"/>
        <v>4.0375880648594084E-2</v>
      </c>
      <c r="CQ32" s="240">
        <f t="shared" si="74"/>
        <v>1.2112599404544222</v>
      </c>
      <c r="CR32" s="84">
        <f t="shared" si="75"/>
        <v>0</v>
      </c>
      <c r="CS32" s="84">
        <f>IF(CR32="","",IF(OR(CR32=1,IF(ISNA(MATCH("מוגן",$I32:CR32,0)),FALSE,TRUE)),1,0))</f>
        <v>0</v>
      </c>
      <c r="CT32" s="241">
        <f t="shared" si="76"/>
        <v>4.0375880648594084E-2</v>
      </c>
      <c r="CU32" s="241" t="str">
        <f t="shared" si="77"/>
        <v>סיום</v>
      </c>
      <c r="CV32" s="242">
        <f t="shared" si="78"/>
        <v>4.0375880648594084E-2</v>
      </c>
      <c r="CW32" s="240">
        <f t="shared" si="79"/>
        <v>1.2112599404544222</v>
      </c>
      <c r="CX32" s="84">
        <f t="shared" si="80"/>
        <v>0</v>
      </c>
      <c r="CY32" s="84">
        <f>IF(CX32="","",IF(OR(CX32=1,IF(ISNA(MATCH("מוגן",$I32:CX32,0)),FALSE,TRUE)),1,0))</f>
        <v>0</v>
      </c>
      <c r="CZ32" s="241">
        <f t="shared" si="81"/>
        <v>4.0375880648594084E-2</v>
      </c>
      <c r="DA32" s="241" t="str">
        <f t="shared" si="82"/>
        <v>סיום</v>
      </c>
      <c r="DB32" s="242">
        <f t="shared" si="83"/>
        <v>4.0375880648594084E-2</v>
      </c>
      <c r="DC32" s="240">
        <f t="shared" si="84"/>
        <v>1.2112599404544222</v>
      </c>
      <c r="DD32" s="84">
        <f t="shared" si="85"/>
        <v>0</v>
      </c>
      <c r="DE32" s="84">
        <f>IF(DD32="","",IF(OR(DD32=1,IF(ISNA(MATCH("מוגן",$I32:DD32,0)),FALSE,TRUE)),1,0))</f>
        <v>0</v>
      </c>
      <c r="DF32" s="241">
        <f t="shared" si="86"/>
        <v>4.0375880648594084E-2</v>
      </c>
      <c r="DG32" s="241" t="str">
        <f t="shared" si="87"/>
        <v>סיום</v>
      </c>
      <c r="DH32" s="242">
        <f t="shared" si="88"/>
        <v>4.0375880648594084E-2</v>
      </c>
      <c r="DI32" s="240">
        <f t="shared" si="89"/>
        <v>1.2112599404544222</v>
      </c>
      <c r="DJ32" s="84">
        <f t="shared" si="90"/>
        <v>0</v>
      </c>
      <c r="DK32" s="84">
        <f>IF(DJ32="","",IF(OR(DJ32=1,IF(ISNA(MATCH("מוגן",$I32:DJ32,0)),FALSE,TRUE)),1,0))</f>
        <v>0</v>
      </c>
      <c r="DL32" s="241">
        <f t="shared" si="91"/>
        <v>4.0375880648594084E-2</v>
      </c>
      <c r="DM32" s="241" t="str">
        <f t="shared" si="92"/>
        <v>סיום</v>
      </c>
      <c r="DN32" s="242">
        <f t="shared" si="93"/>
        <v>4.0375880648594084E-2</v>
      </c>
      <c r="DO32" s="240">
        <f t="shared" si="94"/>
        <v>1.2112599404544222</v>
      </c>
      <c r="DP32" s="84">
        <f t="shared" si="95"/>
        <v>0</v>
      </c>
      <c r="DQ32" s="84">
        <f>IF(DP32="","",IF(OR(DP32=1,IF(ISNA(MATCH("מוגן",$I32:DP32,0)),FALSE,TRUE)),1,0))</f>
        <v>0</v>
      </c>
      <c r="DR32" s="241">
        <f t="shared" si="96"/>
        <v>4.0375880648594084E-2</v>
      </c>
      <c r="DS32" s="241" t="str">
        <f t="shared" si="97"/>
        <v>סיום</v>
      </c>
      <c r="DT32" s="242">
        <f t="shared" si="98"/>
        <v>4.0375880648594084E-2</v>
      </c>
      <c r="DU32" s="240">
        <f t="shared" si="99"/>
        <v>1.2112599404544222</v>
      </c>
      <c r="DV32" s="84">
        <f t="shared" si="100"/>
        <v>0</v>
      </c>
      <c r="DW32" s="84">
        <f>IF(DV32="","",IF(OR(DV32=1,IF(ISNA(MATCH("מוגן",$I32:DV32,0)),FALSE,TRUE)),1,0))</f>
        <v>0</v>
      </c>
      <c r="DX32" s="241">
        <f t="shared" si="101"/>
        <v>4.0375880648594084E-2</v>
      </c>
      <c r="DY32" s="241" t="str">
        <f t="shared" si="102"/>
        <v>סיום</v>
      </c>
      <c r="DZ32" s="242">
        <f t="shared" si="103"/>
        <v>4.0375880648594084E-2</v>
      </c>
      <c r="EA32" s="240">
        <f t="shared" si="104"/>
        <v>1.2112599404544222</v>
      </c>
      <c r="EB32" s="84">
        <f t="shared" si="105"/>
        <v>0</v>
      </c>
      <c r="EC32" s="84">
        <f>IF(EB32="","",IF(OR(EB32=1,IF(ISNA(MATCH("מוגן",$I32:EB32,0)),FALSE,TRUE)),1,0))</f>
        <v>0</v>
      </c>
      <c r="ED32" s="241">
        <f t="shared" si="106"/>
        <v>4.0375880648594084E-2</v>
      </c>
      <c r="EE32" s="241" t="str">
        <f t="shared" si="107"/>
        <v>סיום</v>
      </c>
      <c r="EF32" s="242">
        <f t="shared" si="108"/>
        <v>4.0375880648594084E-2</v>
      </c>
      <c r="EG32" s="240">
        <f t="shared" si="109"/>
        <v>1.2112599404544222</v>
      </c>
      <c r="EH32" s="84">
        <f t="shared" si="110"/>
        <v>0</v>
      </c>
      <c r="EI32" s="84">
        <f>IF(EH32="","",IF(OR(EH32=1,IF(ISNA(MATCH("מוגן",$I32:EH32,0)),FALSE,TRUE)),1,0))</f>
        <v>0</v>
      </c>
      <c r="EJ32" s="241">
        <f t="shared" si="111"/>
        <v>4.0375880648594084E-2</v>
      </c>
      <c r="EK32" s="241" t="str">
        <f t="shared" si="112"/>
        <v>סיום</v>
      </c>
      <c r="EL32" s="242">
        <f t="shared" si="113"/>
        <v>4.0375880648594084E-2</v>
      </c>
      <c r="EM32" s="240">
        <f t="shared" si="114"/>
        <v>1.2112599404544222</v>
      </c>
      <c r="EN32" s="84">
        <f t="shared" si="115"/>
        <v>0</v>
      </c>
      <c r="EO32" s="84">
        <f>IF(EN32="","",IF(OR(EN32=1,IF(ISNA(MATCH("מוגן",$I32:EN32,0)),FALSE,TRUE)),1,0))</f>
        <v>0</v>
      </c>
      <c r="EP32" s="241">
        <f t="shared" si="116"/>
        <v>4.0375880648594084E-2</v>
      </c>
      <c r="EQ32" s="241" t="str">
        <f t="shared" si="117"/>
        <v>סיום</v>
      </c>
      <c r="ER32" s="242">
        <f t="shared" si="118"/>
        <v>4.0375880648594084E-2</v>
      </c>
      <c r="ES32" s="240">
        <f t="shared" si="119"/>
        <v>1.2112599404544222</v>
      </c>
      <c r="ET32" s="84">
        <f t="shared" si="120"/>
        <v>0</v>
      </c>
      <c r="EU32" s="84">
        <f>IF(ET32="","",IF(OR(ET32=1,IF(ISNA(MATCH("מוגן",$I32:ET32,0)),FALSE,TRUE)),1,0))</f>
        <v>0</v>
      </c>
      <c r="EV32" s="241">
        <f t="shared" si="121"/>
        <v>4.0375880648594084E-2</v>
      </c>
      <c r="EW32" s="241" t="str">
        <f t="shared" si="122"/>
        <v>סיום</v>
      </c>
      <c r="EX32" s="242">
        <f t="shared" si="123"/>
        <v>4.0375880648594084E-2</v>
      </c>
      <c r="EY32" s="240">
        <f t="shared" si="124"/>
        <v>1.2112599404544222</v>
      </c>
      <c r="EZ32" s="84">
        <f t="shared" si="125"/>
        <v>0</v>
      </c>
      <c r="FA32" s="84">
        <f>IF(EZ32="","",IF(OR(EZ32=1,IF(ISNA(MATCH("מוגן",$I32:EZ32,0)),FALSE,TRUE)),1,0))</f>
        <v>0</v>
      </c>
      <c r="FB32" s="241">
        <f t="shared" si="126"/>
        <v>4.0375880648594084E-2</v>
      </c>
      <c r="FC32" s="241" t="str">
        <f t="shared" si="127"/>
        <v>סיום</v>
      </c>
      <c r="FD32" s="242">
        <f t="shared" si="128"/>
        <v>4.0375880648594084E-2</v>
      </c>
      <c r="FE32" s="240">
        <f t="shared" si="129"/>
        <v>1.2112599404544222</v>
      </c>
      <c r="FF32" s="84">
        <f t="shared" si="130"/>
        <v>0</v>
      </c>
      <c r="FG32" s="84">
        <f>IF(FF32="","",IF(OR(FF32=1,IF(ISNA(MATCH("מוגן",$I32:FF32,0)),FALSE,TRUE)),1,0))</f>
        <v>0</v>
      </c>
      <c r="FH32" s="241">
        <f t="shared" si="131"/>
        <v>4.0375880648594084E-2</v>
      </c>
      <c r="FI32" s="241" t="str">
        <f t="shared" si="132"/>
        <v>סיום</v>
      </c>
      <c r="FJ32" s="242">
        <f t="shared" si="133"/>
        <v>4.0375880648594084E-2</v>
      </c>
      <c r="FK32" s="240">
        <f t="shared" si="134"/>
        <v>1.2112599404544222</v>
      </c>
      <c r="FL32" s="84">
        <f t="shared" si="135"/>
        <v>0</v>
      </c>
      <c r="FM32" s="84">
        <f>IF(FL32="","",IF(OR(FL32=1,IF(ISNA(MATCH("מוגן",$I32:FL32,0)),FALSE,TRUE)),1,0))</f>
        <v>0</v>
      </c>
      <c r="FN32" s="241">
        <f t="shared" si="136"/>
        <v>4.0375880648594084E-2</v>
      </c>
      <c r="FO32" s="241" t="str">
        <f t="shared" si="137"/>
        <v>סיום</v>
      </c>
      <c r="FP32" s="242">
        <f t="shared" si="138"/>
        <v>4.0375880648594084E-2</v>
      </c>
      <c r="FQ32" s="240">
        <f t="shared" si="139"/>
        <v>1.2112599404544222</v>
      </c>
      <c r="FR32" s="84">
        <f t="shared" si="140"/>
        <v>0</v>
      </c>
      <c r="FS32" s="84">
        <f>IF(FR32="","",IF(OR(FR32=1,IF(ISNA(MATCH("מוגן",$I32:FR32,0)),FALSE,TRUE)),1,0))</f>
        <v>0</v>
      </c>
      <c r="FT32" s="241">
        <f t="shared" si="141"/>
        <v>4.0375880648594084E-2</v>
      </c>
      <c r="FU32" s="241" t="str">
        <f t="shared" si="142"/>
        <v>סיום</v>
      </c>
      <c r="FV32" s="242">
        <f t="shared" si="143"/>
        <v>4.0375880648594084E-2</v>
      </c>
      <c r="FW32" s="240">
        <f t="shared" si="144"/>
        <v>1.2112599404544222</v>
      </c>
      <c r="FX32" s="84">
        <f t="shared" si="145"/>
        <v>0</v>
      </c>
      <c r="FY32" s="84">
        <f>IF(FX32="","",IF(OR(FX32=1,IF(ISNA(MATCH("מוגן",$I32:FX32,0)),FALSE,TRUE)),1,0))</f>
        <v>0</v>
      </c>
      <c r="FZ32" s="241">
        <f t="shared" si="146"/>
        <v>4.0375880648594084E-2</v>
      </c>
      <c r="GA32" s="241" t="str">
        <f t="shared" si="147"/>
        <v>סיום</v>
      </c>
      <c r="GB32" s="242">
        <f t="shared" si="148"/>
        <v>4.0375880648594084E-2</v>
      </c>
      <c r="GC32" s="240">
        <f t="shared" si="149"/>
        <v>1.2112599404544222</v>
      </c>
      <c r="GD32" s="84">
        <f t="shared" si="150"/>
        <v>0</v>
      </c>
      <c r="GE32" s="84">
        <f>IF(GD32="","",IF(OR(GD32=1,IF(ISNA(MATCH("מוגן",$I32:GD32,0)),FALSE,TRUE)),1,0))</f>
        <v>0</v>
      </c>
      <c r="GF32" s="241">
        <f t="shared" si="151"/>
        <v>4.0375880648594084E-2</v>
      </c>
      <c r="GG32" s="241" t="str">
        <f t="shared" si="152"/>
        <v>סיום</v>
      </c>
      <c r="GH32" s="242">
        <f t="shared" si="153"/>
        <v>4.0375880648594084E-2</v>
      </c>
      <c r="GI32" s="240">
        <f t="shared" si="154"/>
        <v>1.2112599404544222</v>
      </c>
      <c r="GJ32" s="84">
        <f t="shared" si="155"/>
        <v>0</v>
      </c>
      <c r="GK32" s="84">
        <f>IF(GJ32="","",IF(OR(GJ32=1,IF(ISNA(MATCH("מוגן",$I32:GJ32,0)),FALSE,TRUE)),1,0))</f>
        <v>0</v>
      </c>
      <c r="GL32" s="241">
        <f t="shared" si="156"/>
        <v>4.0375880648594084E-2</v>
      </c>
      <c r="GM32" s="241" t="str">
        <f t="shared" si="157"/>
        <v>סיום</v>
      </c>
      <c r="GN32" s="242">
        <f t="shared" si="158"/>
        <v>4.0375880648594084E-2</v>
      </c>
      <c r="GO32" s="240">
        <f t="shared" si="159"/>
        <v>1.2112599404544222</v>
      </c>
      <c r="GP32" s="84">
        <f t="shared" si="160"/>
        <v>0</v>
      </c>
      <c r="GQ32" s="84">
        <f>IF(GP32="","",IF(OR(GP32=1,IF(ISNA(MATCH("מוגן",$I32:GP32,0)),FALSE,TRUE)),1,0))</f>
        <v>0</v>
      </c>
      <c r="GR32" s="241">
        <f t="shared" si="161"/>
        <v>4.0375880648594084E-2</v>
      </c>
      <c r="GS32" s="241" t="str">
        <f t="shared" si="162"/>
        <v>סיום</v>
      </c>
      <c r="GT32" s="242">
        <f t="shared" si="163"/>
        <v>4.0375880648594084E-2</v>
      </c>
      <c r="GU32" s="240">
        <f t="shared" si="164"/>
        <v>1.2112599404544222</v>
      </c>
      <c r="GV32" s="84">
        <f t="shared" si="165"/>
        <v>0</v>
      </c>
      <c r="GW32" s="84">
        <f>IF(GV32="","",IF(OR(GV32=1,IF(ISNA(MATCH("מוגן",$I32:GV32,0)),FALSE,TRUE)),1,0))</f>
        <v>0</v>
      </c>
      <c r="GX32" s="241">
        <f t="shared" si="166"/>
        <v>4.0375880648594084E-2</v>
      </c>
      <c r="GY32" s="241" t="str">
        <f t="shared" si="167"/>
        <v>סיום</v>
      </c>
      <c r="GZ32" s="242">
        <f t="shared" si="168"/>
        <v>4.0375880648594084E-2</v>
      </c>
      <c r="HA32" s="119">
        <f t="shared" si="169"/>
        <v>3990025.8830935741</v>
      </c>
      <c r="HB32" s="246" t="str">
        <f t="shared" si="170"/>
        <v>OK</v>
      </c>
      <c r="HC32" s="244">
        <f t="shared" si="171"/>
        <v>1.2112599404544222</v>
      </c>
      <c r="HD32" s="245">
        <f t="shared" si="172"/>
        <v>4.0375880648594084E-2</v>
      </c>
      <c r="HE32" s="111">
        <f t="shared" si="173"/>
        <v>0</v>
      </c>
      <c r="HF32" s="111">
        <f t="shared" si="174"/>
        <v>1</v>
      </c>
      <c r="HG32" s="111" t="b">
        <f>OR(B32="",ISNA(MATCH(C32,{0,1},0)))</f>
        <v>0</v>
      </c>
    </row>
    <row r="33" spans="1:215">
      <c r="A33" s="120">
        <f>ייצוב!A29</f>
        <v>25</v>
      </c>
      <c r="B33" s="121" t="str">
        <f>ייצוב!B29</f>
        <v>עדי</v>
      </c>
      <c r="C33" s="67">
        <v>0</v>
      </c>
      <c r="D33" s="240">
        <f>ייצוב!E29</f>
        <v>5.0043582469423203E-3</v>
      </c>
      <c r="E33" s="240">
        <f>ייצוב!G29</f>
        <v>4.3418193663506367E-3</v>
      </c>
      <c r="F33" s="240">
        <f t="shared" si="0"/>
        <v>0.86760762361557608</v>
      </c>
      <c r="G33" s="84">
        <f t="shared" si="1"/>
        <v>0</v>
      </c>
      <c r="H33" s="241">
        <f t="shared" si="2"/>
        <v>4.3418193663506367E-3</v>
      </c>
      <c r="I33" s="241">
        <f t="array" ref="I33">IF(H33="","",IF(G33=1,"מוגן",H33/SUMIF(G$9:G$41,"=0",H$9:H$41)))</f>
        <v>4.3418193663506367E-3</v>
      </c>
      <c r="J33" s="242">
        <f t="shared" si="3"/>
        <v>4.3418193663506367E-3</v>
      </c>
      <c r="K33" s="240">
        <f t="shared" si="4"/>
        <v>0.86760762361557608</v>
      </c>
      <c r="L33" s="84">
        <f t="shared" si="5"/>
        <v>0</v>
      </c>
      <c r="M33" s="84">
        <f>IF(L33="","",IF(OR(L33=1,IF(ISNA(MATCH("מוגן",$I33:L33,0)),FALSE,TRUE)),1,0))</f>
        <v>0</v>
      </c>
      <c r="N33" s="241">
        <f t="shared" si="6"/>
        <v>4.3418193663506367E-3</v>
      </c>
      <c r="O33" s="241" t="str">
        <f t="shared" si="7"/>
        <v>סיום</v>
      </c>
      <c r="P33" s="242">
        <f t="shared" si="8"/>
        <v>4.3418193663506367E-3</v>
      </c>
      <c r="Q33" s="240">
        <f t="shared" si="9"/>
        <v>0.86760762361557608</v>
      </c>
      <c r="R33" s="84">
        <f t="shared" si="10"/>
        <v>0</v>
      </c>
      <c r="S33" s="84">
        <f>IF(R33="","",IF(OR(R33=1,IF(ISNA(MATCH("מוגן",$I33:R33,0)),FALSE,TRUE)),1,0))</f>
        <v>0</v>
      </c>
      <c r="T33" s="241">
        <f t="shared" si="11"/>
        <v>4.3418193663506367E-3</v>
      </c>
      <c r="U33" s="241" t="str">
        <f t="shared" si="12"/>
        <v>סיום</v>
      </c>
      <c r="V33" s="242">
        <f t="shared" si="13"/>
        <v>4.3418193663506367E-3</v>
      </c>
      <c r="W33" s="240">
        <f t="shared" si="14"/>
        <v>0.86760762361557608</v>
      </c>
      <c r="X33" s="84">
        <f t="shared" si="15"/>
        <v>0</v>
      </c>
      <c r="Y33" s="84">
        <f>IF(X33="","",IF(OR(X33=1,IF(ISNA(MATCH("מוגן",$I33:X33,0)),FALSE,TRUE)),1,0))</f>
        <v>0</v>
      </c>
      <c r="Z33" s="241">
        <f t="shared" si="16"/>
        <v>4.3418193663506367E-3</v>
      </c>
      <c r="AA33" s="241" t="str">
        <f t="shared" si="17"/>
        <v>סיום</v>
      </c>
      <c r="AB33" s="242">
        <f t="shared" si="18"/>
        <v>4.3418193663506367E-3</v>
      </c>
      <c r="AC33" s="240">
        <f t="shared" si="19"/>
        <v>0.86760762361557608</v>
      </c>
      <c r="AD33" s="84">
        <f t="shared" si="20"/>
        <v>0</v>
      </c>
      <c r="AE33" s="84">
        <f>IF(AD33="","",IF(OR(AD33=1,IF(ISNA(MATCH("מוגן",$I33:AD33,0)),FALSE,TRUE)),1,0))</f>
        <v>0</v>
      </c>
      <c r="AF33" s="241">
        <f t="shared" si="21"/>
        <v>4.3418193663506367E-3</v>
      </c>
      <c r="AG33" s="241" t="str">
        <f t="shared" si="22"/>
        <v>סיום</v>
      </c>
      <c r="AH33" s="242">
        <f t="shared" si="23"/>
        <v>4.3418193663506367E-3</v>
      </c>
      <c r="AI33" s="240">
        <f t="shared" si="24"/>
        <v>0.86760762361557608</v>
      </c>
      <c r="AJ33" s="84">
        <f t="shared" si="25"/>
        <v>0</v>
      </c>
      <c r="AK33" s="84">
        <f>IF(AJ33="","",IF(OR(AJ33=1,IF(ISNA(MATCH("מוגן",$I33:AJ33,0)),FALSE,TRUE)),1,0))</f>
        <v>0</v>
      </c>
      <c r="AL33" s="241">
        <f t="shared" si="26"/>
        <v>4.3418193663506367E-3</v>
      </c>
      <c r="AM33" s="241" t="str">
        <f t="shared" si="27"/>
        <v>סיום</v>
      </c>
      <c r="AN33" s="242">
        <f t="shared" si="28"/>
        <v>4.3418193663506367E-3</v>
      </c>
      <c r="AO33" s="240">
        <f t="shared" si="29"/>
        <v>0.86760762361557608</v>
      </c>
      <c r="AP33" s="84">
        <f t="shared" si="30"/>
        <v>0</v>
      </c>
      <c r="AQ33" s="84">
        <f>IF(AP33="","",IF(OR(AP33=1,IF(ISNA(MATCH("מוגן",$I33:AP33,0)),FALSE,TRUE)),1,0))</f>
        <v>0</v>
      </c>
      <c r="AR33" s="241">
        <f t="shared" si="31"/>
        <v>4.3418193663506367E-3</v>
      </c>
      <c r="AS33" s="241" t="str">
        <f t="shared" si="32"/>
        <v>סיום</v>
      </c>
      <c r="AT33" s="242">
        <f t="shared" si="33"/>
        <v>4.3418193663506367E-3</v>
      </c>
      <c r="AU33" s="240">
        <f t="shared" si="34"/>
        <v>0.86760762361557608</v>
      </c>
      <c r="AV33" s="84">
        <f t="shared" si="35"/>
        <v>0</v>
      </c>
      <c r="AW33" s="84">
        <f>IF(AV33="","",IF(OR(AV33=1,IF(ISNA(MATCH("מוגן",$I33:AV33,0)),FALSE,TRUE)),1,0))</f>
        <v>0</v>
      </c>
      <c r="AX33" s="241">
        <f t="shared" si="36"/>
        <v>4.3418193663506367E-3</v>
      </c>
      <c r="AY33" s="241" t="str">
        <f t="shared" si="37"/>
        <v>סיום</v>
      </c>
      <c r="AZ33" s="242">
        <f t="shared" si="38"/>
        <v>4.3418193663506367E-3</v>
      </c>
      <c r="BA33" s="240">
        <f t="shared" si="39"/>
        <v>0.86760762361557608</v>
      </c>
      <c r="BB33" s="84">
        <f t="shared" si="40"/>
        <v>0</v>
      </c>
      <c r="BC33" s="84">
        <f>IF(BB33="","",IF(OR(BB33=1,IF(ISNA(MATCH("מוגן",$I33:BB33,0)),FALSE,TRUE)),1,0))</f>
        <v>0</v>
      </c>
      <c r="BD33" s="241">
        <f t="shared" si="41"/>
        <v>4.3418193663506367E-3</v>
      </c>
      <c r="BE33" s="241" t="str">
        <f t="shared" si="42"/>
        <v>סיום</v>
      </c>
      <c r="BF33" s="242">
        <f t="shared" si="43"/>
        <v>4.3418193663506367E-3</v>
      </c>
      <c r="BG33" s="240">
        <f t="shared" si="44"/>
        <v>0.86760762361557608</v>
      </c>
      <c r="BH33" s="84">
        <f t="shared" si="45"/>
        <v>0</v>
      </c>
      <c r="BI33" s="84">
        <f>IF(BH33="","",IF(OR(BH33=1,IF(ISNA(MATCH("מוגן",$I33:BH33,0)),FALSE,TRUE)),1,0))</f>
        <v>0</v>
      </c>
      <c r="BJ33" s="241">
        <f t="shared" si="46"/>
        <v>4.3418193663506367E-3</v>
      </c>
      <c r="BK33" s="241" t="str">
        <f t="shared" si="47"/>
        <v>סיום</v>
      </c>
      <c r="BL33" s="242">
        <f t="shared" si="48"/>
        <v>4.3418193663506367E-3</v>
      </c>
      <c r="BM33" s="240">
        <f t="shared" si="49"/>
        <v>0.86760762361557608</v>
      </c>
      <c r="BN33" s="84">
        <f t="shared" si="50"/>
        <v>0</v>
      </c>
      <c r="BO33" s="84">
        <f>IF(BN33="","",IF(OR(BN33=1,IF(ISNA(MATCH("מוגן",$I33:BN33,0)),FALSE,TRUE)),1,0))</f>
        <v>0</v>
      </c>
      <c r="BP33" s="241">
        <f t="shared" si="51"/>
        <v>4.3418193663506367E-3</v>
      </c>
      <c r="BQ33" s="241" t="str">
        <f t="shared" si="52"/>
        <v>סיום</v>
      </c>
      <c r="BR33" s="242">
        <f t="shared" si="53"/>
        <v>4.3418193663506367E-3</v>
      </c>
      <c r="BS33" s="240">
        <f t="shared" si="54"/>
        <v>0.86760762361557608</v>
      </c>
      <c r="BT33" s="84">
        <f t="shared" si="55"/>
        <v>0</v>
      </c>
      <c r="BU33" s="84">
        <f>IF(BT33="","",IF(OR(BT33=1,IF(ISNA(MATCH("מוגן",$I33:BT33,0)),FALSE,TRUE)),1,0))</f>
        <v>0</v>
      </c>
      <c r="BV33" s="241">
        <f t="shared" si="56"/>
        <v>4.3418193663506367E-3</v>
      </c>
      <c r="BW33" s="241" t="str">
        <f t="shared" si="57"/>
        <v>סיום</v>
      </c>
      <c r="BX33" s="242">
        <f t="shared" si="58"/>
        <v>4.3418193663506367E-3</v>
      </c>
      <c r="BY33" s="240">
        <f t="shared" si="59"/>
        <v>0.86760762361557608</v>
      </c>
      <c r="BZ33" s="84">
        <f t="shared" si="60"/>
        <v>0</v>
      </c>
      <c r="CA33" s="84">
        <f>IF(BZ33="","",IF(OR(BZ33=1,IF(ISNA(MATCH("מוגן",$I33:BZ33,0)),FALSE,TRUE)),1,0))</f>
        <v>0</v>
      </c>
      <c r="CB33" s="241">
        <f t="shared" si="61"/>
        <v>4.3418193663506367E-3</v>
      </c>
      <c r="CC33" s="241" t="str">
        <f t="shared" si="62"/>
        <v>סיום</v>
      </c>
      <c r="CD33" s="242">
        <f t="shared" si="63"/>
        <v>4.3418193663506367E-3</v>
      </c>
      <c r="CE33" s="240">
        <f t="shared" si="64"/>
        <v>0.86760762361557608</v>
      </c>
      <c r="CF33" s="84">
        <f t="shared" si="65"/>
        <v>0</v>
      </c>
      <c r="CG33" s="84">
        <f>IF(CF33="","",IF(OR(CF33=1,IF(ISNA(MATCH("מוגן",$I33:CF33,0)),FALSE,TRUE)),1,0))</f>
        <v>0</v>
      </c>
      <c r="CH33" s="241">
        <f t="shared" si="66"/>
        <v>4.3418193663506367E-3</v>
      </c>
      <c r="CI33" s="241" t="str">
        <f t="shared" si="67"/>
        <v>סיום</v>
      </c>
      <c r="CJ33" s="242">
        <f t="shared" si="68"/>
        <v>4.3418193663506367E-3</v>
      </c>
      <c r="CK33" s="240">
        <f t="shared" si="69"/>
        <v>0.86760762361557608</v>
      </c>
      <c r="CL33" s="84">
        <f t="shared" si="70"/>
        <v>0</v>
      </c>
      <c r="CM33" s="84">
        <f>IF(CL33="","",IF(OR(CL33=1,IF(ISNA(MATCH("מוגן",$I33:CL33,0)),FALSE,TRUE)),1,0))</f>
        <v>0</v>
      </c>
      <c r="CN33" s="241">
        <f t="shared" si="71"/>
        <v>4.3418193663506367E-3</v>
      </c>
      <c r="CO33" s="241" t="str">
        <f t="shared" si="72"/>
        <v>סיום</v>
      </c>
      <c r="CP33" s="242">
        <f t="shared" si="73"/>
        <v>4.3418193663506367E-3</v>
      </c>
      <c r="CQ33" s="240">
        <f t="shared" si="74"/>
        <v>0.86760762361557608</v>
      </c>
      <c r="CR33" s="84">
        <f t="shared" si="75"/>
        <v>0</v>
      </c>
      <c r="CS33" s="84">
        <f>IF(CR33="","",IF(OR(CR33=1,IF(ISNA(MATCH("מוגן",$I33:CR33,0)),FALSE,TRUE)),1,0))</f>
        <v>0</v>
      </c>
      <c r="CT33" s="241">
        <f t="shared" si="76"/>
        <v>4.3418193663506367E-3</v>
      </c>
      <c r="CU33" s="241" t="str">
        <f t="shared" si="77"/>
        <v>סיום</v>
      </c>
      <c r="CV33" s="242">
        <f t="shared" si="78"/>
        <v>4.3418193663506367E-3</v>
      </c>
      <c r="CW33" s="240">
        <f t="shared" si="79"/>
        <v>0.86760762361557608</v>
      </c>
      <c r="CX33" s="84">
        <f t="shared" si="80"/>
        <v>0</v>
      </c>
      <c r="CY33" s="84">
        <f>IF(CX33="","",IF(OR(CX33=1,IF(ISNA(MATCH("מוגן",$I33:CX33,0)),FALSE,TRUE)),1,0))</f>
        <v>0</v>
      </c>
      <c r="CZ33" s="241">
        <f t="shared" si="81"/>
        <v>4.3418193663506367E-3</v>
      </c>
      <c r="DA33" s="241" t="str">
        <f t="shared" si="82"/>
        <v>סיום</v>
      </c>
      <c r="DB33" s="242">
        <f t="shared" si="83"/>
        <v>4.3418193663506367E-3</v>
      </c>
      <c r="DC33" s="240">
        <f t="shared" si="84"/>
        <v>0.86760762361557608</v>
      </c>
      <c r="DD33" s="84">
        <f t="shared" si="85"/>
        <v>0</v>
      </c>
      <c r="DE33" s="84">
        <f>IF(DD33="","",IF(OR(DD33=1,IF(ISNA(MATCH("מוגן",$I33:DD33,0)),FALSE,TRUE)),1,0))</f>
        <v>0</v>
      </c>
      <c r="DF33" s="241">
        <f t="shared" si="86"/>
        <v>4.3418193663506367E-3</v>
      </c>
      <c r="DG33" s="241" t="str">
        <f t="shared" si="87"/>
        <v>סיום</v>
      </c>
      <c r="DH33" s="242">
        <f t="shared" si="88"/>
        <v>4.3418193663506367E-3</v>
      </c>
      <c r="DI33" s="240">
        <f t="shared" si="89"/>
        <v>0.86760762361557608</v>
      </c>
      <c r="DJ33" s="84">
        <f t="shared" si="90"/>
        <v>0</v>
      </c>
      <c r="DK33" s="84">
        <f>IF(DJ33="","",IF(OR(DJ33=1,IF(ISNA(MATCH("מוגן",$I33:DJ33,0)),FALSE,TRUE)),1,0))</f>
        <v>0</v>
      </c>
      <c r="DL33" s="241">
        <f t="shared" si="91"/>
        <v>4.3418193663506367E-3</v>
      </c>
      <c r="DM33" s="241" t="str">
        <f t="shared" si="92"/>
        <v>סיום</v>
      </c>
      <c r="DN33" s="242">
        <f t="shared" si="93"/>
        <v>4.3418193663506367E-3</v>
      </c>
      <c r="DO33" s="240">
        <f t="shared" si="94"/>
        <v>0.86760762361557608</v>
      </c>
      <c r="DP33" s="84">
        <f t="shared" si="95"/>
        <v>0</v>
      </c>
      <c r="DQ33" s="84">
        <f>IF(DP33="","",IF(OR(DP33=1,IF(ISNA(MATCH("מוגן",$I33:DP33,0)),FALSE,TRUE)),1,0))</f>
        <v>0</v>
      </c>
      <c r="DR33" s="241">
        <f t="shared" si="96"/>
        <v>4.3418193663506367E-3</v>
      </c>
      <c r="DS33" s="241" t="str">
        <f t="shared" si="97"/>
        <v>סיום</v>
      </c>
      <c r="DT33" s="242">
        <f t="shared" si="98"/>
        <v>4.3418193663506367E-3</v>
      </c>
      <c r="DU33" s="240">
        <f t="shared" si="99"/>
        <v>0.86760762361557608</v>
      </c>
      <c r="DV33" s="84">
        <f t="shared" si="100"/>
        <v>0</v>
      </c>
      <c r="DW33" s="84">
        <f>IF(DV33="","",IF(OR(DV33=1,IF(ISNA(MATCH("מוגן",$I33:DV33,0)),FALSE,TRUE)),1,0))</f>
        <v>0</v>
      </c>
      <c r="DX33" s="241">
        <f t="shared" si="101"/>
        <v>4.3418193663506367E-3</v>
      </c>
      <c r="DY33" s="241" t="str">
        <f t="shared" si="102"/>
        <v>סיום</v>
      </c>
      <c r="DZ33" s="242">
        <f t="shared" si="103"/>
        <v>4.3418193663506367E-3</v>
      </c>
      <c r="EA33" s="240">
        <f t="shared" si="104"/>
        <v>0.86760762361557608</v>
      </c>
      <c r="EB33" s="84">
        <f t="shared" si="105"/>
        <v>0</v>
      </c>
      <c r="EC33" s="84">
        <f>IF(EB33="","",IF(OR(EB33=1,IF(ISNA(MATCH("מוגן",$I33:EB33,0)),FALSE,TRUE)),1,0))</f>
        <v>0</v>
      </c>
      <c r="ED33" s="241">
        <f t="shared" si="106"/>
        <v>4.3418193663506367E-3</v>
      </c>
      <c r="EE33" s="241" t="str">
        <f t="shared" si="107"/>
        <v>סיום</v>
      </c>
      <c r="EF33" s="242">
        <f t="shared" si="108"/>
        <v>4.3418193663506367E-3</v>
      </c>
      <c r="EG33" s="240">
        <f t="shared" si="109"/>
        <v>0.86760762361557608</v>
      </c>
      <c r="EH33" s="84">
        <f t="shared" si="110"/>
        <v>0</v>
      </c>
      <c r="EI33" s="84">
        <f>IF(EH33="","",IF(OR(EH33=1,IF(ISNA(MATCH("מוגן",$I33:EH33,0)),FALSE,TRUE)),1,0))</f>
        <v>0</v>
      </c>
      <c r="EJ33" s="241">
        <f t="shared" si="111"/>
        <v>4.3418193663506367E-3</v>
      </c>
      <c r="EK33" s="241" t="str">
        <f t="shared" si="112"/>
        <v>סיום</v>
      </c>
      <c r="EL33" s="242">
        <f t="shared" si="113"/>
        <v>4.3418193663506367E-3</v>
      </c>
      <c r="EM33" s="240">
        <f t="shared" si="114"/>
        <v>0.86760762361557608</v>
      </c>
      <c r="EN33" s="84">
        <f t="shared" si="115"/>
        <v>0</v>
      </c>
      <c r="EO33" s="84">
        <f>IF(EN33="","",IF(OR(EN33=1,IF(ISNA(MATCH("מוגן",$I33:EN33,0)),FALSE,TRUE)),1,0))</f>
        <v>0</v>
      </c>
      <c r="EP33" s="241">
        <f t="shared" si="116"/>
        <v>4.3418193663506367E-3</v>
      </c>
      <c r="EQ33" s="241" t="str">
        <f t="shared" si="117"/>
        <v>סיום</v>
      </c>
      <c r="ER33" s="242">
        <f t="shared" si="118"/>
        <v>4.3418193663506367E-3</v>
      </c>
      <c r="ES33" s="240">
        <f t="shared" si="119"/>
        <v>0.86760762361557608</v>
      </c>
      <c r="ET33" s="84">
        <f t="shared" si="120"/>
        <v>0</v>
      </c>
      <c r="EU33" s="84">
        <f>IF(ET33="","",IF(OR(ET33=1,IF(ISNA(MATCH("מוגן",$I33:ET33,0)),FALSE,TRUE)),1,0))</f>
        <v>0</v>
      </c>
      <c r="EV33" s="241">
        <f t="shared" si="121"/>
        <v>4.3418193663506367E-3</v>
      </c>
      <c r="EW33" s="241" t="str">
        <f t="shared" si="122"/>
        <v>סיום</v>
      </c>
      <c r="EX33" s="242">
        <f t="shared" si="123"/>
        <v>4.3418193663506367E-3</v>
      </c>
      <c r="EY33" s="240">
        <f t="shared" si="124"/>
        <v>0.86760762361557608</v>
      </c>
      <c r="EZ33" s="84">
        <f t="shared" si="125"/>
        <v>0</v>
      </c>
      <c r="FA33" s="84">
        <f>IF(EZ33="","",IF(OR(EZ33=1,IF(ISNA(MATCH("מוגן",$I33:EZ33,0)),FALSE,TRUE)),1,0))</f>
        <v>0</v>
      </c>
      <c r="FB33" s="241">
        <f t="shared" si="126"/>
        <v>4.3418193663506367E-3</v>
      </c>
      <c r="FC33" s="241" t="str">
        <f t="shared" si="127"/>
        <v>סיום</v>
      </c>
      <c r="FD33" s="242">
        <f t="shared" si="128"/>
        <v>4.3418193663506367E-3</v>
      </c>
      <c r="FE33" s="240">
        <f t="shared" si="129"/>
        <v>0.86760762361557608</v>
      </c>
      <c r="FF33" s="84">
        <f t="shared" si="130"/>
        <v>0</v>
      </c>
      <c r="FG33" s="84">
        <f>IF(FF33="","",IF(OR(FF33=1,IF(ISNA(MATCH("מוגן",$I33:FF33,0)),FALSE,TRUE)),1,0))</f>
        <v>0</v>
      </c>
      <c r="FH33" s="241">
        <f t="shared" si="131"/>
        <v>4.3418193663506367E-3</v>
      </c>
      <c r="FI33" s="241" t="str">
        <f t="shared" si="132"/>
        <v>סיום</v>
      </c>
      <c r="FJ33" s="242">
        <f t="shared" si="133"/>
        <v>4.3418193663506367E-3</v>
      </c>
      <c r="FK33" s="240">
        <f t="shared" si="134"/>
        <v>0.86760762361557608</v>
      </c>
      <c r="FL33" s="84">
        <f t="shared" si="135"/>
        <v>0</v>
      </c>
      <c r="FM33" s="84">
        <f>IF(FL33="","",IF(OR(FL33=1,IF(ISNA(MATCH("מוגן",$I33:FL33,0)),FALSE,TRUE)),1,0))</f>
        <v>0</v>
      </c>
      <c r="FN33" s="241">
        <f t="shared" si="136"/>
        <v>4.3418193663506367E-3</v>
      </c>
      <c r="FO33" s="241" t="str">
        <f t="shared" si="137"/>
        <v>סיום</v>
      </c>
      <c r="FP33" s="242">
        <f t="shared" si="138"/>
        <v>4.3418193663506367E-3</v>
      </c>
      <c r="FQ33" s="240">
        <f t="shared" si="139"/>
        <v>0.86760762361557608</v>
      </c>
      <c r="FR33" s="84">
        <f t="shared" si="140"/>
        <v>0</v>
      </c>
      <c r="FS33" s="84">
        <f>IF(FR33="","",IF(OR(FR33=1,IF(ISNA(MATCH("מוגן",$I33:FR33,0)),FALSE,TRUE)),1,0))</f>
        <v>0</v>
      </c>
      <c r="FT33" s="241">
        <f t="shared" si="141"/>
        <v>4.3418193663506367E-3</v>
      </c>
      <c r="FU33" s="241" t="str">
        <f t="shared" si="142"/>
        <v>סיום</v>
      </c>
      <c r="FV33" s="242">
        <f t="shared" si="143"/>
        <v>4.3418193663506367E-3</v>
      </c>
      <c r="FW33" s="240">
        <f t="shared" si="144"/>
        <v>0.86760762361557608</v>
      </c>
      <c r="FX33" s="84">
        <f t="shared" si="145"/>
        <v>0</v>
      </c>
      <c r="FY33" s="84">
        <f>IF(FX33="","",IF(OR(FX33=1,IF(ISNA(MATCH("מוגן",$I33:FX33,0)),FALSE,TRUE)),1,0))</f>
        <v>0</v>
      </c>
      <c r="FZ33" s="241">
        <f t="shared" si="146"/>
        <v>4.3418193663506367E-3</v>
      </c>
      <c r="GA33" s="241" t="str">
        <f t="shared" si="147"/>
        <v>סיום</v>
      </c>
      <c r="GB33" s="242">
        <f t="shared" si="148"/>
        <v>4.3418193663506367E-3</v>
      </c>
      <c r="GC33" s="240">
        <f t="shared" si="149"/>
        <v>0.86760762361557608</v>
      </c>
      <c r="GD33" s="84">
        <f t="shared" si="150"/>
        <v>0</v>
      </c>
      <c r="GE33" s="84">
        <f>IF(GD33="","",IF(OR(GD33=1,IF(ISNA(MATCH("מוגן",$I33:GD33,0)),FALSE,TRUE)),1,0))</f>
        <v>0</v>
      </c>
      <c r="GF33" s="241">
        <f t="shared" si="151"/>
        <v>4.3418193663506367E-3</v>
      </c>
      <c r="GG33" s="241" t="str">
        <f t="shared" si="152"/>
        <v>סיום</v>
      </c>
      <c r="GH33" s="242">
        <f t="shared" si="153"/>
        <v>4.3418193663506367E-3</v>
      </c>
      <c r="GI33" s="240">
        <f t="shared" si="154"/>
        <v>0.86760762361557608</v>
      </c>
      <c r="GJ33" s="84">
        <f t="shared" si="155"/>
        <v>0</v>
      </c>
      <c r="GK33" s="84">
        <f>IF(GJ33="","",IF(OR(GJ33=1,IF(ISNA(MATCH("מוגן",$I33:GJ33,0)),FALSE,TRUE)),1,0))</f>
        <v>0</v>
      </c>
      <c r="GL33" s="241">
        <f t="shared" si="156"/>
        <v>4.3418193663506367E-3</v>
      </c>
      <c r="GM33" s="241" t="str">
        <f t="shared" si="157"/>
        <v>סיום</v>
      </c>
      <c r="GN33" s="242">
        <f t="shared" si="158"/>
        <v>4.3418193663506367E-3</v>
      </c>
      <c r="GO33" s="240">
        <f t="shared" si="159"/>
        <v>0.86760762361557608</v>
      </c>
      <c r="GP33" s="84">
        <f t="shared" si="160"/>
        <v>0</v>
      </c>
      <c r="GQ33" s="84">
        <f>IF(GP33="","",IF(OR(GP33=1,IF(ISNA(MATCH("מוגן",$I33:GP33,0)),FALSE,TRUE)),1,0))</f>
        <v>0</v>
      </c>
      <c r="GR33" s="241">
        <f t="shared" si="161"/>
        <v>4.3418193663506367E-3</v>
      </c>
      <c r="GS33" s="241" t="str">
        <f t="shared" si="162"/>
        <v>סיום</v>
      </c>
      <c r="GT33" s="242">
        <f t="shared" si="163"/>
        <v>4.3418193663506367E-3</v>
      </c>
      <c r="GU33" s="240">
        <f t="shared" si="164"/>
        <v>0.86760762361557608</v>
      </c>
      <c r="GV33" s="84">
        <f t="shared" si="165"/>
        <v>0</v>
      </c>
      <c r="GW33" s="84">
        <f>IF(GV33="","",IF(OR(GV33=1,IF(ISNA(MATCH("מוגן",$I33:GV33,0)),FALSE,TRUE)),1,0))</f>
        <v>0</v>
      </c>
      <c r="GX33" s="241">
        <f t="shared" si="166"/>
        <v>4.3418193663506367E-3</v>
      </c>
      <c r="GY33" s="241" t="str">
        <f t="shared" si="167"/>
        <v>סיום</v>
      </c>
      <c r="GZ33" s="242">
        <f t="shared" si="168"/>
        <v>4.3418193663506367E-3</v>
      </c>
      <c r="HA33" s="119">
        <f t="shared" si="169"/>
        <v>429067.33854879311</v>
      </c>
      <c r="HB33" s="246" t="str">
        <f t="shared" si="170"/>
        <v>OK</v>
      </c>
      <c r="HC33" s="244">
        <f t="shared" si="171"/>
        <v>0.86760762361557608</v>
      </c>
      <c r="HD33" s="245">
        <f t="shared" si="172"/>
        <v>4.3418193663506367E-3</v>
      </c>
      <c r="HE33" s="111">
        <f t="shared" si="173"/>
        <v>0</v>
      </c>
      <c r="HF33" s="111">
        <f t="shared" si="174"/>
        <v>1</v>
      </c>
      <c r="HG33" s="111" t="b">
        <f>OR(B33="",ISNA(MATCH(C33,{0,1},0)))</f>
        <v>0</v>
      </c>
    </row>
    <row r="34" spans="1:215">
      <c r="A34" s="120">
        <f>ייצוב!A30</f>
        <v>26</v>
      </c>
      <c r="B34" s="121" t="str">
        <f>ייצוב!B30</f>
        <v>מדייטק</v>
      </c>
      <c r="C34" s="67"/>
      <c r="D34" s="240">
        <f>ייצוב!E30</f>
        <v>1.8125669459009914E-2</v>
      </c>
      <c r="E34" s="240">
        <f>ייצוב!G30</f>
        <v>1.8141452618061764E-2</v>
      </c>
      <c r="F34" s="240">
        <f t="shared" si="0"/>
        <v>1.0008707628199633</v>
      </c>
      <c r="G34" s="84">
        <f t="shared" si="1"/>
        <v>0</v>
      </c>
      <c r="H34" s="241">
        <f t="shared" si="2"/>
        <v>1.8141452618061764E-2</v>
      </c>
      <c r="I34" s="241">
        <f t="array" ref="I34">IF(H34="","",IF(G34=1,"מוגן",H34/SUMIF(G$9:G$41,"=0",H$9:H$41)))</f>
        <v>1.8141452618061764E-2</v>
      </c>
      <c r="J34" s="242">
        <f t="shared" si="3"/>
        <v>1.8141452618061764E-2</v>
      </c>
      <c r="K34" s="240">
        <f t="shared" si="4"/>
        <v>1.0008707628199633</v>
      </c>
      <c r="L34" s="84">
        <f t="shared" si="5"/>
        <v>0</v>
      </c>
      <c r="M34" s="84">
        <f>IF(L34="","",IF(OR(L34=1,IF(ISNA(MATCH("מוגן",$I34:L34,0)),FALSE,TRUE)),1,0))</f>
        <v>0</v>
      </c>
      <c r="N34" s="241">
        <f t="shared" si="6"/>
        <v>1.8141452618061764E-2</v>
      </c>
      <c r="O34" s="241" t="str">
        <f t="shared" si="7"/>
        <v>סיום</v>
      </c>
      <c r="P34" s="242">
        <f t="shared" si="8"/>
        <v>1.8141452618061764E-2</v>
      </c>
      <c r="Q34" s="240">
        <f t="shared" si="9"/>
        <v>1.0008707628199633</v>
      </c>
      <c r="R34" s="84">
        <f t="shared" si="10"/>
        <v>0</v>
      </c>
      <c r="S34" s="84">
        <f>IF(R34="","",IF(OR(R34=1,IF(ISNA(MATCH("מוגן",$I34:R34,0)),FALSE,TRUE)),1,0))</f>
        <v>0</v>
      </c>
      <c r="T34" s="241">
        <f t="shared" si="11"/>
        <v>1.8141452618061764E-2</v>
      </c>
      <c r="U34" s="241" t="str">
        <f t="shared" si="12"/>
        <v>סיום</v>
      </c>
      <c r="V34" s="242">
        <f t="shared" si="13"/>
        <v>1.8141452618061764E-2</v>
      </c>
      <c r="W34" s="240">
        <f t="shared" si="14"/>
        <v>1.0008707628199633</v>
      </c>
      <c r="X34" s="84">
        <f t="shared" si="15"/>
        <v>0</v>
      </c>
      <c r="Y34" s="84">
        <f>IF(X34="","",IF(OR(X34=1,IF(ISNA(MATCH("מוגן",$I34:X34,0)),FALSE,TRUE)),1,0))</f>
        <v>0</v>
      </c>
      <c r="Z34" s="241">
        <f t="shared" si="16"/>
        <v>1.8141452618061764E-2</v>
      </c>
      <c r="AA34" s="241" t="str">
        <f t="shared" si="17"/>
        <v>סיום</v>
      </c>
      <c r="AB34" s="242">
        <f t="shared" si="18"/>
        <v>1.8141452618061764E-2</v>
      </c>
      <c r="AC34" s="240">
        <f t="shared" si="19"/>
        <v>1.0008707628199633</v>
      </c>
      <c r="AD34" s="84">
        <f t="shared" si="20"/>
        <v>0</v>
      </c>
      <c r="AE34" s="84">
        <f>IF(AD34="","",IF(OR(AD34=1,IF(ISNA(MATCH("מוגן",$I34:AD34,0)),FALSE,TRUE)),1,0))</f>
        <v>0</v>
      </c>
      <c r="AF34" s="241">
        <f t="shared" si="21"/>
        <v>1.8141452618061764E-2</v>
      </c>
      <c r="AG34" s="241" t="str">
        <f t="shared" si="22"/>
        <v>סיום</v>
      </c>
      <c r="AH34" s="242">
        <f t="shared" si="23"/>
        <v>1.8141452618061764E-2</v>
      </c>
      <c r="AI34" s="240">
        <f t="shared" si="24"/>
        <v>1.0008707628199633</v>
      </c>
      <c r="AJ34" s="84">
        <f t="shared" si="25"/>
        <v>0</v>
      </c>
      <c r="AK34" s="84">
        <f>IF(AJ34="","",IF(OR(AJ34=1,IF(ISNA(MATCH("מוגן",$I34:AJ34,0)),FALSE,TRUE)),1,0))</f>
        <v>0</v>
      </c>
      <c r="AL34" s="241">
        <f t="shared" si="26"/>
        <v>1.8141452618061764E-2</v>
      </c>
      <c r="AM34" s="241" t="str">
        <f t="shared" si="27"/>
        <v>סיום</v>
      </c>
      <c r="AN34" s="242">
        <f t="shared" si="28"/>
        <v>1.8141452618061764E-2</v>
      </c>
      <c r="AO34" s="240">
        <f t="shared" si="29"/>
        <v>1.0008707628199633</v>
      </c>
      <c r="AP34" s="84">
        <f t="shared" si="30"/>
        <v>0</v>
      </c>
      <c r="AQ34" s="84">
        <f>IF(AP34="","",IF(OR(AP34=1,IF(ISNA(MATCH("מוגן",$I34:AP34,0)),FALSE,TRUE)),1,0))</f>
        <v>0</v>
      </c>
      <c r="AR34" s="241">
        <f t="shared" si="31"/>
        <v>1.8141452618061764E-2</v>
      </c>
      <c r="AS34" s="241" t="str">
        <f t="shared" si="32"/>
        <v>סיום</v>
      </c>
      <c r="AT34" s="242">
        <f t="shared" si="33"/>
        <v>1.8141452618061764E-2</v>
      </c>
      <c r="AU34" s="240">
        <f t="shared" si="34"/>
        <v>1.0008707628199633</v>
      </c>
      <c r="AV34" s="84">
        <f t="shared" si="35"/>
        <v>0</v>
      </c>
      <c r="AW34" s="84">
        <f>IF(AV34="","",IF(OR(AV34=1,IF(ISNA(MATCH("מוגן",$I34:AV34,0)),FALSE,TRUE)),1,0))</f>
        <v>0</v>
      </c>
      <c r="AX34" s="241">
        <f t="shared" si="36"/>
        <v>1.8141452618061764E-2</v>
      </c>
      <c r="AY34" s="241" t="str">
        <f t="shared" si="37"/>
        <v>סיום</v>
      </c>
      <c r="AZ34" s="242">
        <f t="shared" si="38"/>
        <v>1.8141452618061764E-2</v>
      </c>
      <c r="BA34" s="240">
        <f t="shared" si="39"/>
        <v>1.0008707628199633</v>
      </c>
      <c r="BB34" s="84">
        <f t="shared" si="40"/>
        <v>0</v>
      </c>
      <c r="BC34" s="84">
        <f>IF(BB34="","",IF(OR(BB34=1,IF(ISNA(MATCH("מוגן",$I34:BB34,0)),FALSE,TRUE)),1,0))</f>
        <v>0</v>
      </c>
      <c r="BD34" s="241">
        <f t="shared" si="41"/>
        <v>1.8141452618061764E-2</v>
      </c>
      <c r="BE34" s="241" t="str">
        <f t="shared" si="42"/>
        <v>סיום</v>
      </c>
      <c r="BF34" s="242">
        <f t="shared" si="43"/>
        <v>1.8141452618061764E-2</v>
      </c>
      <c r="BG34" s="240">
        <f t="shared" si="44"/>
        <v>1.0008707628199633</v>
      </c>
      <c r="BH34" s="84">
        <f t="shared" si="45"/>
        <v>0</v>
      </c>
      <c r="BI34" s="84">
        <f>IF(BH34="","",IF(OR(BH34=1,IF(ISNA(MATCH("מוגן",$I34:BH34,0)),FALSE,TRUE)),1,0))</f>
        <v>0</v>
      </c>
      <c r="BJ34" s="241">
        <f t="shared" si="46"/>
        <v>1.8141452618061764E-2</v>
      </c>
      <c r="BK34" s="241" t="str">
        <f t="shared" si="47"/>
        <v>סיום</v>
      </c>
      <c r="BL34" s="242">
        <f t="shared" si="48"/>
        <v>1.8141452618061764E-2</v>
      </c>
      <c r="BM34" s="240">
        <f t="shared" si="49"/>
        <v>1.0008707628199633</v>
      </c>
      <c r="BN34" s="84">
        <f t="shared" si="50"/>
        <v>0</v>
      </c>
      <c r="BO34" s="84">
        <f>IF(BN34="","",IF(OR(BN34=1,IF(ISNA(MATCH("מוגן",$I34:BN34,0)),FALSE,TRUE)),1,0))</f>
        <v>0</v>
      </c>
      <c r="BP34" s="241">
        <f t="shared" si="51"/>
        <v>1.8141452618061764E-2</v>
      </c>
      <c r="BQ34" s="241" t="str">
        <f t="shared" si="52"/>
        <v>סיום</v>
      </c>
      <c r="BR34" s="242">
        <f t="shared" si="53"/>
        <v>1.8141452618061764E-2</v>
      </c>
      <c r="BS34" s="240">
        <f t="shared" si="54"/>
        <v>1.0008707628199633</v>
      </c>
      <c r="BT34" s="84">
        <f t="shared" si="55"/>
        <v>0</v>
      </c>
      <c r="BU34" s="84">
        <f>IF(BT34="","",IF(OR(BT34=1,IF(ISNA(MATCH("מוגן",$I34:BT34,0)),FALSE,TRUE)),1,0))</f>
        <v>0</v>
      </c>
      <c r="BV34" s="241">
        <f t="shared" si="56"/>
        <v>1.8141452618061764E-2</v>
      </c>
      <c r="BW34" s="241" t="str">
        <f t="shared" si="57"/>
        <v>סיום</v>
      </c>
      <c r="BX34" s="242">
        <f t="shared" si="58"/>
        <v>1.8141452618061764E-2</v>
      </c>
      <c r="BY34" s="240">
        <f t="shared" si="59"/>
        <v>1.0008707628199633</v>
      </c>
      <c r="BZ34" s="84">
        <f t="shared" si="60"/>
        <v>0</v>
      </c>
      <c r="CA34" s="84">
        <f>IF(BZ34="","",IF(OR(BZ34=1,IF(ISNA(MATCH("מוגן",$I34:BZ34,0)),FALSE,TRUE)),1,0))</f>
        <v>0</v>
      </c>
      <c r="CB34" s="241">
        <f t="shared" si="61"/>
        <v>1.8141452618061764E-2</v>
      </c>
      <c r="CC34" s="241" t="str">
        <f t="shared" si="62"/>
        <v>סיום</v>
      </c>
      <c r="CD34" s="242">
        <f t="shared" si="63"/>
        <v>1.8141452618061764E-2</v>
      </c>
      <c r="CE34" s="240">
        <f t="shared" si="64"/>
        <v>1.0008707628199633</v>
      </c>
      <c r="CF34" s="84">
        <f t="shared" si="65"/>
        <v>0</v>
      </c>
      <c r="CG34" s="84">
        <f>IF(CF34="","",IF(OR(CF34=1,IF(ISNA(MATCH("מוגן",$I34:CF34,0)),FALSE,TRUE)),1,0))</f>
        <v>0</v>
      </c>
      <c r="CH34" s="241">
        <f t="shared" si="66"/>
        <v>1.8141452618061764E-2</v>
      </c>
      <c r="CI34" s="241" t="str">
        <f t="shared" si="67"/>
        <v>סיום</v>
      </c>
      <c r="CJ34" s="242">
        <f t="shared" si="68"/>
        <v>1.8141452618061764E-2</v>
      </c>
      <c r="CK34" s="240">
        <f t="shared" si="69"/>
        <v>1.0008707628199633</v>
      </c>
      <c r="CL34" s="84">
        <f t="shared" si="70"/>
        <v>0</v>
      </c>
      <c r="CM34" s="84">
        <f>IF(CL34="","",IF(OR(CL34=1,IF(ISNA(MATCH("מוגן",$I34:CL34,0)),FALSE,TRUE)),1,0))</f>
        <v>0</v>
      </c>
      <c r="CN34" s="241">
        <f t="shared" si="71"/>
        <v>1.8141452618061764E-2</v>
      </c>
      <c r="CO34" s="241" t="str">
        <f t="shared" si="72"/>
        <v>סיום</v>
      </c>
      <c r="CP34" s="242">
        <f t="shared" si="73"/>
        <v>1.8141452618061764E-2</v>
      </c>
      <c r="CQ34" s="240">
        <f t="shared" si="74"/>
        <v>1.0008707628199633</v>
      </c>
      <c r="CR34" s="84">
        <f t="shared" si="75"/>
        <v>0</v>
      </c>
      <c r="CS34" s="84">
        <f>IF(CR34="","",IF(OR(CR34=1,IF(ISNA(MATCH("מוגן",$I34:CR34,0)),FALSE,TRUE)),1,0))</f>
        <v>0</v>
      </c>
      <c r="CT34" s="241">
        <f t="shared" si="76"/>
        <v>1.8141452618061764E-2</v>
      </c>
      <c r="CU34" s="241" t="str">
        <f t="shared" si="77"/>
        <v>סיום</v>
      </c>
      <c r="CV34" s="242">
        <f t="shared" si="78"/>
        <v>1.8141452618061764E-2</v>
      </c>
      <c r="CW34" s="240">
        <f t="shared" si="79"/>
        <v>1.0008707628199633</v>
      </c>
      <c r="CX34" s="84">
        <f t="shared" si="80"/>
        <v>0</v>
      </c>
      <c r="CY34" s="84">
        <f>IF(CX34="","",IF(OR(CX34=1,IF(ISNA(MATCH("מוגן",$I34:CX34,0)),FALSE,TRUE)),1,0))</f>
        <v>0</v>
      </c>
      <c r="CZ34" s="241">
        <f t="shared" si="81"/>
        <v>1.8141452618061764E-2</v>
      </c>
      <c r="DA34" s="241" t="str">
        <f t="shared" si="82"/>
        <v>סיום</v>
      </c>
      <c r="DB34" s="242">
        <f t="shared" si="83"/>
        <v>1.8141452618061764E-2</v>
      </c>
      <c r="DC34" s="240">
        <f t="shared" si="84"/>
        <v>1.0008707628199633</v>
      </c>
      <c r="DD34" s="84">
        <f t="shared" si="85"/>
        <v>0</v>
      </c>
      <c r="DE34" s="84">
        <f>IF(DD34="","",IF(OR(DD34=1,IF(ISNA(MATCH("מוגן",$I34:DD34,0)),FALSE,TRUE)),1,0))</f>
        <v>0</v>
      </c>
      <c r="DF34" s="241">
        <f t="shared" si="86"/>
        <v>1.8141452618061764E-2</v>
      </c>
      <c r="DG34" s="241" t="str">
        <f t="shared" si="87"/>
        <v>סיום</v>
      </c>
      <c r="DH34" s="242">
        <f t="shared" si="88"/>
        <v>1.8141452618061764E-2</v>
      </c>
      <c r="DI34" s="240">
        <f t="shared" si="89"/>
        <v>1.0008707628199633</v>
      </c>
      <c r="DJ34" s="84">
        <f t="shared" si="90"/>
        <v>0</v>
      </c>
      <c r="DK34" s="84">
        <f>IF(DJ34="","",IF(OR(DJ34=1,IF(ISNA(MATCH("מוגן",$I34:DJ34,0)),FALSE,TRUE)),1,0))</f>
        <v>0</v>
      </c>
      <c r="DL34" s="241">
        <f t="shared" si="91"/>
        <v>1.8141452618061764E-2</v>
      </c>
      <c r="DM34" s="241" t="str">
        <f t="shared" si="92"/>
        <v>סיום</v>
      </c>
      <c r="DN34" s="242">
        <f t="shared" si="93"/>
        <v>1.8141452618061764E-2</v>
      </c>
      <c r="DO34" s="240">
        <f t="shared" si="94"/>
        <v>1.0008707628199633</v>
      </c>
      <c r="DP34" s="84">
        <f t="shared" si="95"/>
        <v>0</v>
      </c>
      <c r="DQ34" s="84">
        <f>IF(DP34="","",IF(OR(DP34=1,IF(ISNA(MATCH("מוגן",$I34:DP34,0)),FALSE,TRUE)),1,0))</f>
        <v>0</v>
      </c>
      <c r="DR34" s="241">
        <f t="shared" si="96"/>
        <v>1.8141452618061764E-2</v>
      </c>
      <c r="DS34" s="241" t="str">
        <f t="shared" si="97"/>
        <v>סיום</v>
      </c>
      <c r="DT34" s="242">
        <f t="shared" si="98"/>
        <v>1.8141452618061764E-2</v>
      </c>
      <c r="DU34" s="240">
        <f t="shared" si="99"/>
        <v>1.0008707628199633</v>
      </c>
      <c r="DV34" s="84">
        <f t="shared" si="100"/>
        <v>0</v>
      </c>
      <c r="DW34" s="84">
        <f>IF(DV34="","",IF(OR(DV34=1,IF(ISNA(MATCH("מוגן",$I34:DV34,0)),FALSE,TRUE)),1,0))</f>
        <v>0</v>
      </c>
      <c r="DX34" s="241">
        <f t="shared" si="101"/>
        <v>1.8141452618061764E-2</v>
      </c>
      <c r="DY34" s="241" t="str">
        <f t="shared" si="102"/>
        <v>סיום</v>
      </c>
      <c r="DZ34" s="242">
        <f t="shared" si="103"/>
        <v>1.8141452618061764E-2</v>
      </c>
      <c r="EA34" s="240">
        <f t="shared" si="104"/>
        <v>1.0008707628199633</v>
      </c>
      <c r="EB34" s="84">
        <f t="shared" si="105"/>
        <v>0</v>
      </c>
      <c r="EC34" s="84">
        <f>IF(EB34="","",IF(OR(EB34=1,IF(ISNA(MATCH("מוגן",$I34:EB34,0)),FALSE,TRUE)),1,0))</f>
        <v>0</v>
      </c>
      <c r="ED34" s="241">
        <f t="shared" si="106"/>
        <v>1.8141452618061764E-2</v>
      </c>
      <c r="EE34" s="241" t="str">
        <f t="shared" si="107"/>
        <v>סיום</v>
      </c>
      <c r="EF34" s="242">
        <f t="shared" si="108"/>
        <v>1.8141452618061764E-2</v>
      </c>
      <c r="EG34" s="240">
        <f t="shared" si="109"/>
        <v>1.0008707628199633</v>
      </c>
      <c r="EH34" s="84">
        <f t="shared" si="110"/>
        <v>0</v>
      </c>
      <c r="EI34" s="84">
        <f>IF(EH34="","",IF(OR(EH34=1,IF(ISNA(MATCH("מוגן",$I34:EH34,0)),FALSE,TRUE)),1,0))</f>
        <v>0</v>
      </c>
      <c r="EJ34" s="241">
        <f t="shared" si="111"/>
        <v>1.8141452618061764E-2</v>
      </c>
      <c r="EK34" s="241" t="str">
        <f t="shared" si="112"/>
        <v>סיום</v>
      </c>
      <c r="EL34" s="242">
        <f t="shared" si="113"/>
        <v>1.8141452618061764E-2</v>
      </c>
      <c r="EM34" s="240">
        <f t="shared" si="114"/>
        <v>1.0008707628199633</v>
      </c>
      <c r="EN34" s="84">
        <f t="shared" si="115"/>
        <v>0</v>
      </c>
      <c r="EO34" s="84">
        <f>IF(EN34="","",IF(OR(EN34=1,IF(ISNA(MATCH("מוגן",$I34:EN34,0)),FALSE,TRUE)),1,0))</f>
        <v>0</v>
      </c>
      <c r="EP34" s="241">
        <f t="shared" si="116"/>
        <v>1.8141452618061764E-2</v>
      </c>
      <c r="EQ34" s="241" t="str">
        <f t="shared" si="117"/>
        <v>סיום</v>
      </c>
      <c r="ER34" s="242">
        <f t="shared" si="118"/>
        <v>1.8141452618061764E-2</v>
      </c>
      <c r="ES34" s="240">
        <f t="shared" si="119"/>
        <v>1.0008707628199633</v>
      </c>
      <c r="ET34" s="84">
        <f t="shared" si="120"/>
        <v>0</v>
      </c>
      <c r="EU34" s="84">
        <f>IF(ET34="","",IF(OR(ET34=1,IF(ISNA(MATCH("מוגן",$I34:ET34,0)),FALSE,TRUE)),1,0))</f>
        <v>0</v>
      </c>
      <c r="EV34" s="241">
        <f t="shared" si="121"/>
        <v>1.8141452618061764E-2</v>
      </c>
      <c r="EW34" s="241" t="str">
        <f t="shared" si="122"/>
        <v>סיום</v>
      </c>
      <c r="EX34" s="242">
        <f t="shared" si="123"/>
        <v>1.8141452618061764E-2</v>
      </c>
      <c r="EY34" s="240">
        <f t="shared" si="124"/>
        <v>1.0008707628199633</v>
      </c>
      <c r="EZ34" s="84">
        <f t="shared" si="125"/>
        <v>0</v>
      </c>
      <c r="FA34" s="84">
        <f>IF(EZ34="","",IF(OR(EZ34=1,IF(ISNA(MATCH("מוגן",$I34:EZ34,0)),FALSE,TRUE)),1,0))</f>
        <v>0</v>
      </c>
      <c r="FB34" s="241">
        <f t="shared" si="126"/>
        <v>1.8141452618061764E-2</v>
      </c>
      <c r="FC34" s="241" t="str">
        <f t="shared" si="127"/>
        <v>סיום</v>
      </c>
      <c r="FD34" s="242">
        <f t="shared" si="128"/>
        <v>1.8141452618061764E-2</v>
      </c>
      <c r="FE34" s="240">
        <f t="shared" si="129"/>
        <v>1.0008707628199633</v>
      </c>
      <c r="FF34" s="84">
        <f t="shared" si="130"/>
        <v>0</v>
      </c>
      <c r="FG34" s="84">
        <f>IF(FF34="","",IF(OR(FF34=1,IF(ISNA(MATCH("מוגן",$I34:FF34,0)),FALSE,TRUE)),1,0))</f>
        <v>0</v>
      </c>
      <c r="FH34" s="241">
        <f t="shared" si="131"/>
        <v>1.8141452618061764E-2</v>
      </c>
      <c r="FI34" s="241" t="str">
        <f t="shared" si="132"/>
        <v>סיום</v>
      </c>
      <c r="FJ34" s="242">
        <f t="shared" si="133"/>
        <v>1.8141452618061764E-2</v>
      </c>
      <c r="FK34" s="240">
        <f t="shared" si="134"/>
        <v>1.0008707628199633</v>
      </c>
      <c r="FL34" s="84">
        <f t="shared" si="135"/>
        <v>0</v>
      </c>
      <c r="FM34" s="84">
        <f>IF(FL34="","",IF(OR(FL34=1,IF(ISNA(MATCH("מוגן",$I34:FL34,0)),FALSE,TRUE)),1,0))</f>
        <v>0</v>
      </c>
      <c r="FN34" s="241">
        <f t="shared" si="136"/>
        <v>1.8141452618061764E-2</v>
      </c>
      <c r="FO34" s="241" t="str">
        <f t="shared" si="137"/>
        <v>סיום</v>
      </c>
      <c r="FP34" s="242">
        <f t="shared" si="138"/>
        <v>1.8141452618061764E-2</v>
      </c>
      <c r="FQ34" s="240">
        <f t="shared" si="139"/>
        <v>1.0008707628199633</v>
      </c>
      <c r="FR34" s="84">
        <f t="shared" si="140"/>
        <v>0</v>
      </c>
      <c r="FS34" s="84">
        <f>IF(FR34="","",IF(OR(FR34=1,IF(ISNA(MATCH("מוגן",$I34:FR34,0)),FALSE,TRUE)),1,0))</f>
        <v>0</v>
      </c>
      <c r="FT34" s="241">
        <f t="shared" si="141"/>
        <v>1.8141452618061764E-2</v>
      </c>
      <c r="FU34" s="241" t="str">
        <f t="shared" si="142"/>
        <v>סיום</v>
      </c>
      <c r="FV34" s="242">
        <f t="shared" si="143"/>
        <v>1.8141452618061764E-2</v>
      </c>
      <c r="FW34" s="240">
        <f t="shared" si="144"/>
        <v>1.0008707628199633</v>
      </c>
      <c r="FX34" s="84">
        <f t="shared" si="145"/>
        <v>0</v>
      </c>
      <c r="FY34" s="84">
        <f>IF(FX34="","",IF(OR(FX34=1,IF(ISNA(MATCH("מוגן",$I34:FX34,0)),FALSE,TRUE)),1,0))</f>
        <v>0</v>
      </c>
      <c r="FZ34" s="241">
        <f t="shared" si="146"/>
        <v>1.8141452618061764E-2</v>
      </c>
      <c r="GA34" s="241" t="str">
        <f t="shared" si="147"/>
        <v>סיום</v>
      </c>
      <c r="GB34" s="242">
        <f t="shared" si="148"/>
        <v>1.8141452618061764E-2</v>
      </c>
      <c r="GC34" s="240">
        <f t="shared" si="149"/>
        <v>1.0008707628199633</v>
      </c>
      <c r="GD34" s="84">
        <f t="shared" si="150"/>
        <v>0</v>
      </c>
      <c r="GE34" s="84">
        <f>IF(GD34="","",IF(OR(GD34=1,IF(ISNA(MATCH("מוגן",$I34:GD34,0)),FALSE,TRUE)),1,0))</f>
        <v>0</v>
      </c>
      <c r="GF34" s="241">
        <f t="shared" si="151"/>
        <v>1.8141452618061764E-2</v>
      </c>
      <c r="GG34" s="241" t="str">
        <f t="shared" si="152"/>
        <v>סיום</v>
      </c>
      <c r="GH34" s="242">
        <f t="shared" si="153"/>
        <v>1.8141452618061764E-2</v>
      </c>
      <c r="GI34" s="240">
        <f t="shared" si="154"/>
        <v>1.0008707628199633</v>
      </c>
      <c r="GJ34" s="84">
        <f t="shared" si="155"/>
        <v>0</v>
      </c>
      <c r="GK34" s="84">
        <f>IF(GJ34="","",IF(OR(GJ34=1,IF(ISNA(MATCH("מוגן",$I34:GJ34,0)),FALSE,TRUE)),1,0))</f>
        <v>0</v>
      </c>
      <c r="GL34" s="241">
        <f t="shared" si="156"/>
        <v>1.8141452618061764E-2</v>
      </c>
      <c r="GM34" s="241" t="str">
        <f t="shared" si="157"/>
        <v>סיום</v>
      </c>
      <c r="GN34" s="242">
        <f t="shared" si="158"/>
        <v>1.8141452618061764E-2</v>
      </c>
      <c r="GO34" s="240">
        <f t="shared" si="159"/>
        <v>1.0008707628199633</v>
      </c>
      <c r="GP34" s="84">
        <f t="shared" si="160"/>
        <v>0</v>
      </c>
      <c r="GQ34" s="84">
        <f>IF(GP34="","",IF(OR(GP34=1,IF(ISNA(MATCH("מוגן",$I34:GP34,0)),FALSE,TRUE)),1,0))</f>
        <v>0</v>
      </c>
      <c r="GR34" s="241">
        <f t="shared" si="161"/>
        <v>1.8141452618061764E-2</v>
      </c>
      <c r="GS34" s="241" t="str">
        <f t="shared" si="162"/>
        <v>סיום</v>
      </c>
      <c r="GT34" s="242">
        <f t="shared" si="163"/>
        <v>1.8141452618061764E-2</v>
      </c>
      <c r="GU34" s="240">
        <f t="shared" si="164"/>
        <v>1.0008707628199633</v>
      </c>
      <c r="GV34" s="84">
        <f t="shared" si="165"/>
        <v>0</v>
      </c>
      <c r="GW34" s="84">
        <f>IF(GV34="","",IF(OR(GV34=1,IF(ISNA(MATCH("מוגן",$I34:GV34,0)),FALSE,TRUE)),1,0))</f>
        <v>0</v>
      </c>
      <c r="GX34" s="241">
        <f t="shared" si="166"/>
        <v>1.8141452618061764E-2</v>
      </c>
      <c r="GY34" s="241" t="str">
        <f t="shared" si="167"/>
        <v>סיום</v>
      </c>
      <c r="GZ34" s="242">
        <f t="shared" si="168"/>
        <v>1.8141452618061764E-2</v>
      </c>
      <c r="HA34" s="119">
        <f t="shared" si="169"/>
        <v>1792774.9027438888</v>
      </c>
      <c r="HB34" s="246" t="str">
        <f t="shared" si="170"/>
        <v>OK</v>
      </c>
      <c r="HC34" s="244">
        <f t="shared" si="171"/>
        <v>1.0008707628199633</v>
      </c>
      <c r="HD34" s="245">
        <f t="shared" si="172"/>
        <v>1.8141452618061764E-2</v>
      </c>
      <c r="HE34" s="111">
        <f t="shared" si="173"/>
        <v>0</v>
      </c>
      <c r="HF34" s="111">
        <f t="shared" si="174"/>
        <v>1</v>
      </c>
      <c r="HG34" s="111" t="b">
        <f>OR(B34="",ISNA(MATCH(C34,{0,1},0)))</f>
        <v>0</v>
      </c>
    </row>
    <row r="35" spans="1:215">
      <c r="A35" s="120">
        <f>ייצוב!A31</f>
        <v>27</v>
      </c>
      <c r="B35" s="121" t="str">
        <f>ייצוב!B31</f>
        <v>חני</v>
      </c>
      <c r="C35" s="67"/>
      <c r="D35" s="240">
        <f>ייצוב!E31</f>
        <v>4.5105123542998286E-3</v>
      </c>
      <c r="E35" s="240">
        <f>ייצוב!G31</f>
        <v>4.2988868423697799E-3</v>
      </c>
      <c r="F35" s="240">
        <f t="shared" si="0"/>
        <v>0.95308171327181757</v>
      </c>
      <c r="G35" s="84">
        <f t="shared" si="1"/>
        <v>0</v>
      </c>
      <c r="H35" s="241">
        <f t="shared" si="2"/>
        <v>4.2988868423697799E-3</v>
      </c>
      <c r="I35" s="241">
        <f t="array" ref="I35">IF(H35="","",IF(G35=1,"מוגן",H35/SUMIF(G$9:G$41,"=0",H$9:H$41)))</f>
        <v>4.2988868423697799E-3</v>
      </c>
      <c r="J35" s="242">
        <f t="shared" si="3"/>
        <v>4.2988868423697799E-3</v>
      </c>
      <c r="K35" s="240">
        <f t="shared" si="4"/>
        <v>0.95308171327181757</v>
      </c>
      <c r="L35" s="84">
        <f t="shared" si="5"/>
        <v>0</v>
      </c>
      <c r="M35" s="84">
        <f>IF(L35="","",IF(OR(L35=1,IF(ISNA(MATCH("מוגן",$I35:L35,0)),FALSE,TRUE)),1,0))</f>
        <v>0</v>
      </c>
      <c r="N35" s="241">
        <f t="shared" si="6"/>
        <v>4.2988868423697799E-3</v>
      </c>
      <c r="O35" s="241" t="str">
        <f t="shared" si="7"/>
        <v>סיום</v>
      </c>
      <c r="P35" s="242">
        <f t="shared" si="8"/>
        <v>4.2988868423697799E-3</v>
      </c>
      <c r="Q35" s="240">
        <f t="shared" si="9"/>
        <v>0.95308171327181757</v>
      </c>
      <c r="R35" s="84">
        <f t="shared" si="10"/>
        <v>0</v>
      </c>
      <c r="S35" s="84">
        <f>IF(R35="","",IF(OR(R35=1,IF(ISNA(MATCH("מוגן",$I35:R35,0)),FALSE,TRUE)),1,0))</f>
        <v>0</v>
      </c>
      <c r="T35" s="241">
        <f t="shared" si="11"/>
        <v>4.2988868423697799E-3</v>
      </c>
      <c r="U35" s="241" t="str">
        <f t="shared" si="12"/>
        <v>סיום</v>
      </c>
      <c r="V35" s="242">
        <f t="shared" si="13"/>
        <v>4.2988868423697799E-3</v>
      </c>
      <c r="W35" s="240">
        <f t="shared" si="14"/>
        <v>0.95308171327181757</v>
      </c>
      <c r="X35" s="84">
        <f t="shared" si="15"/>
        <v>0</v>
      </c>
      <c r="Y35" s="84">
        <f>IF(X35="","",IF(OR(X35=1,IF(ISNA(MATCH("מוגן",$I35:X35,0)),FALSE,TRUE)),1,0))</f>
        <v>0</v>
      </c>
      <c r="Z35" s="241">
        <f t="shared" si="16"/>
        <v>4.2988868423697799E-3</v>
      </c>
      <c r="AA35" s="241" t="str">
        <f t="shared" si="17"/>
        <v>סיום</v>
      </c>
      <c r="AB35" s="242">
        <f t="shared" si="18"/>
        <v>4.2988868423697799E-3</v>
      </c>
      <c r="AC35" s="240">
        <f t="shared" si="19"/>
        <v>0.95308171327181757</v>
      </c>
      <c r="AD35" s="84">
        <f t="shared" si="20"/>
        <v>0</v>
      </c>
      <c r="AE35" s="84">
        <f>IF(AD35="","",IF(OR(AD35=1,IF(ISNA(MATCH("מוגן",$I35:AD35,0)),FALSE,TRUE)),1,0))</f>
        <v>0</v>
      </c>
      <c r="AF35" s="241">
        <f t="shared" si="21"/>
        <v>4.2988868423697799E-3</v>
      </c>
      <c r="AG35" s="241" t="str">
        <f t="shared" si="22"/>
        <v>סיום</v>
      </c>
      <c r="AH35" s="242">
        <f t="shared" si="23"/>
        <v>4.2988868423697799E-3</v>
      </c>
      <c r="AI35" s="240">
        <f t="shared" si="24"/>
        <v>0.95308171327181757</v>
      </c>
      <c r="AJ35" s="84">
        <f t="shared" si="25"/>
        <v>0</v>
      </c>
      <c r="AK35" s="84">
        <f>IF(AJ35="","",IF(OR(AJ35=1,IF(ISNA(MATCH("מוגן",$I35:AJ35,0)),FALSE,TRUE)),1,0))</f>
        <v>0</v>
      </c>
      <c r="AL35" s="241">
        <f t="shared" si="26"/>
        <v>4.2988868423697799E-3</v>
      </c>
      <c r="AM35" s="241" t="str">
        <f t="shared" si="27"/>
        <v>סיום</v>
      </c>
      <c r="AN35" s="242">
        <f t="shared" si="28"/>
        <v>4.2988868423697799E-3</v>
      </c>
      <c r="AO35" s="240">
        <f t="shared" si="29"/>
        <v>0.95308171327181757</v>
      </c>
      <c r="AP35" s="84">
        <f t="shared" si="30"/>
        <v>0</v>
      </c>
      <c r="AQ35" s="84">
        <f>IF(AP35="","",IF(OR(AP35=1,IF(ISNA(MATCH("מוגן",$I35:AP35,0)),FALSE,TRUE)),1,0))</f>
        <v>0</v>
      </c>
      <c r="AR35" s="241">
        <f t="shared" si="31"/>
        <v>4.2988868423697799E-3</v>
      </c>
      <c r="AS35" s="241" t="str">
        <f t="shared" si="32"/>
        <v>סיום</v>
      </c>
      <c r="AT35" s="242">
        <f t="shared" si="33"/>
        <v>4.2988868423697799E-3</v>
      </c>
      <c r="AU35" s="240">
        <f t="shared" si="34"/>
        <v>0.95308171327181757</v>
      </c>
      <c r="AV35" s="84">
        <f t="shared" si="35"/>
        <v>0</v>
      </c>
      <c r="AW35" s="84">
        <f>IF(AV35="","",IF(OR(AV35=1,IF(ISNA(MATCH("מוגן",$I35:AV35,0)),FALSE,TRUE)),1,0))</f>
        <v>0</v>
      </c>
      <c r="AX35" s="241">
        <f t="shared" si="36"/>
        <v>4.2988868423697799E-3</v>
      </c>
      <c r="AY35" s="241" t="str">
        <f t="shared" si="37"/>
        <v>סיום</v>
      </c>
      <c r="AZ35" s="242">
        <f t="shared" si="38"/>
        <v>4.2988868423697799E-3</v>
      </c>
      <c r="BA35" s="240">
        <f t="shared" si="39"/>
        <v>0.95308171327181757</v>
      </c>
      <c r="BB35" s="84">
        <f t="shared" si="40"/>
        <v>0</v>
      </c>
      <c r="BC35" s="84">
        <f>IF(BB35="","",IF(OR(BB35=1,IF(ISNA(MATCH("מוגן",$I35:BB35,0)),FALSE,TRUE)),1,0))</f>
        <v>0</v>
      </c>
      <c r="BD35" s="241">
        <f t="shared" si="41"/>
        <v>4.2988868423697799E-3</v>
      </c>
      <c r="BE35" s="241" t="str">
        <f t="shared" si="42"/>
        <v>סיום</v>
      </c>
      <c r="BF35" s="242">
        <f t="shared" si="43"/>
        <v>4.2988868423697799E-3</v>
      </c>
      <c r="BG35" s="240">
        <f t="shared" si="44"/>
        <v>0.95308171327181757</v>
      </c>
      <c r="BH35" s="84">
        <f t="shared" si="45"/>
        <v>0</v>
      </c>
      <c r="BI35" s="84">
        <f>IF(BH35="","",IF(OR(BH35=1,IF(ISNA(MATCH("מוגן",$I35:BH35,0)),FALSE,TRUE)),1,0))</f>
        <v>0</v>
      </c>
      <c r="BJ35" s="241">
        <f t="shared" si="46"/>
        <v>4.2988868423697799E-3</v>
      </c>
      <c r="BK35" s="241" t="str">
        <f t="shared" si="47"/>
        <v>סיום</v>
      </c>
      <c r="BL35" s="242">
        <f t="shared" si="48"/>
        <v>4.2988868423697799E-3</v>
      </c>
      <c r="BM35" s="240">
        <f t="shared" si="49"/>
        <v>0.95308171327181757</v>
      </c>
      <c r="BN35" s="84">
        <f t="shared" si="50"/>
        <v>0</v>
      </c>
      <c r="BO35" s="84">
        <f>IF(BN35="","",IF(OR(BN35=1,IF(ISNA(MATCH("מוגן",$I35:BN35,0)),FALSE,TRUE)),1,0))</f>
        <v>0</v>
      </c>
      <c r="BP35" s="241">
        <f t="shared" si="51"/>
        <v>4.2988868423697799E-3</v>
      </c>
      <c r="BQ35" s="241" t="str">
        <f t="shared" si="52"/>
        <v>סיום</v>
      </c>
      <c r="BR35" s="242">
        <f t="shared" si="53"/>
        <v>4.2988868423697799E-3</v>
      </c>
      <c r="BS35" s="240">
        <f t="shared" si="54"/>
        <v>0.95308171327181757</v>
      </c>
      <c r="BT35" s="84">
        <f t="shared" si="55"/>
        <v>0</v>
      </c>
      <c r="BU35" s="84">
        <f>IF(BT35="","",IF(OR(BT35=1,IF(ISNA(MATCH("מוגן",$I35:BT35,0)),FALSE,TRUE)),1,0))</f>
        <v>0</v>
      </c>
      <c r="BV35" s="241">
        <f t="shared" si="56"/>
        <v>4.2988868423697799E-3</v>
      </c>
      <c r="BW35" s="241" t="str">
        <f t="shared" si="57"/>
        <v>סיום</v>
      </c>
      <c r="BX35" s="242">
        <f t="shared" si="58"/>
        <v>4.2988868423697799E-3</v>
      </c>
      <c r="BY35" s="240">
        <f t="shared" si="59"/>
        <v>0.95308171327181757</v>
      </c>
      <c r="BZ35" s="84">
        <f t="shared" si="60"/>
        <v>0</v>
      </c>
      <c r="CA35" s="84">
        <f>IF(BZ35="","",IF(OR(BZ35=1,IF(ISNA(MATCH("מוגן",$I35:BZ35,0)),FALSE,TRUE)),1,0))</f>
        <v>0</v>
      </c>
      <c r="CB35" s="241">
        <f t="shared" si="61"/>
        <v>4.2988868423697799E-3</v>
      </c>
      <c r="CC35" s="241" t="str">
        <f t="shared" si="62"/>
        <v>סיום</v>
      </c>
      <c r="CD35" s="242">
        <f t="shared" si="63"/>
        <v>4.2988868423697799E-3</v>
      </c>
      <c r="CE35" s="240">
        <f t="shared" si="64"/>
        <v>0.95308171327181757</v>
      </c>
      <c r="CF35" s="84">
        <f t="shared" si="65"/>
        <v>0</v>
      </c>
      <c r="CG35" s="84">
        <f>IF(CF35="","",IF(OR(CF35=1,IF(ISNA(MATCH("מוגן",$I35:CF35,0)),FALSE,TRUE)),1,0))</f>
        <v>0</v>
      </c>
      <c r="CH35" s="241">
        <f t="shared" si="66"/>
        <v>4.2988868423697799E-3</v>
      </c>
      <c r="CI35" s="241" t="str">
        <f t="shared" si="67"/>
        <v>סיום</v>
      </c>
      <c r="CJ35" s="242">
        <f t="shared" si="68"/>
        <v>4.2988868423697799E-3</v>
      </c>
      <c r="CK35" s="240">
        <f t="shared" si="69"/>
        <v>0.95308171327181757</v>
      </c>
      <c r="CL35" s="84">
        <f t="shared" si="70"/>
        <v>0</v>
      </c>
      <c r="CM35" s="84">
        <f>IF(CL35="","",IF(OR(CL35=1,IF(ISNA(MATCH("מוגן",$I35:CL35,0)),FALSE,TRUE)),1,0))</f>
        <v>0</v>
      </c>
      <c r="CN35" s="241">
        <f t="shared" si="71"/>
        <v>4.2988868423697799E-3</v>
      </c>
      <c r="CO35" s="241" t="str">
        <f t="shared" si="72"/>
        <v>סיום</v>
      </c>
      <c r="CP35" s="242">
        <f t="shared" si="73"/>
        <v>4.2988868423697799E-3</v>
      </c>
      <c r="CQ35" s="240">
        <f t="shared" si="74"/>
        <v>0.95308171327181757</v>
      </c>
      <c r="CR35" s="84">
        <f t="shared" si="75"/>
        <v>0</v>
      </c>
      <c r="CS35" s="84">
        <f>IF(CR35="","",IF(OR(CR35=1,IF(ISNA(MATCH("מוגן",$I35:CR35,0)),FALSE,TRUE)),1,0))</f>
        <v>0</v>
      </c>
      <c r="CT35" s="241">
        <f t="shared" si="76"/>
        <v>4.2988868423697799E-3</v>
      </c>
      <c r="CU35" s="241" t="str">
        <f t="shared" si="77"/>
        <v>סיום</v>
      </c>
      <c r="CV35" s="242">
        <f t="shared" si="78"/>
        <v>4.2988868423697799E-3</v>
      </c>
      <c r="CW35" s="240">
        <f t="shared" si="79"/>
        <v>0.95308171327181757</v>
      </c>
      <c r="CX35" s="84">
        <f t="shared" si="80"/>
        <v>0</v>
      </c>
      <c r="CY35" s="84">
        <f>IF(CX35="","",IF(OR(CX35=1,IF(ISNA(MATCH("מוגן",$I35:CX35,0)),FALSE,TRUE)),1,0))</f>
        <v>0</v>
      </c>
      <c r="CZ35" s="241">
        <f t="shared" si="81"/>
        <v>4.2988868423697799E-3</v>
      </c>
      <c r="DA35" s="241" t="str">
        <f t="shared" si="82"/>
        <v>סיום</v>
      </c>
      <c r="DB35" s="242">
        <f t="shared" si="83"/>
        <v>4.2988868423697799E-3</v>
      </c>
      <c r="DC35" s="240">
        <f t="shared" si="84"/>
        <v>0.95308171327181757</v>
      </c>
      <c r="DD35" s="84">
        <f t="shared" si="85"/>
        <v>0</v>
      </c>
      <c r="DE35" s="84">
        <f>IF(DD35="","",IF(OR(DD35=1,IF(ISNA(MATCH("מוגן",$I35:DD35,0)),FALSE,TRUE)),1,0))</f>
        <v>0</v>
      </c>
      <c r="DF35" s="241">
        <f t="shared" si="86"/>
        <v>4.2988868423697799E-3</v>
      </c>
      <c r="DG35" s="241" t="str">
        <f t="shared" si="87"/>
        <v>סיום</v>
      </c>
      <c r="DH35" s="242">
        <f t="shared" si="88"/>
        <v>4.2988868423697799E-3</v>
      </c>
      <c r="DI35" s="240">
        <f t="shared" si="89"/>
        <v>0.95308171327181757</v>
      </c>
      <c r="DJ35" s="84">
        <f t="shared" si="90"/>
        <v>0</v>
      </c>
      <c r="DK35" s="84">
        <f>IF(DJ35="","",IF(OR(DJ35=1,IF(ISNA(MATCH("מוגן",$I35:DJ35,0)),FALSE,TRUE)),1,0))</f>
        <v>0</v>
      </c>
      <c r="DL35" s="241">
        <f t="shared" si="91"/>
        <v>4.2988868423697799E-3</v>
      </c>
      <c r="DM35" s="241" t="str">
        <f t="shared" si="92"/>
        <v>סיום</v>
      </c>
      <c r="DN35" s="242">
        <f t="shared" si="93"/>
        <v>4.2988868423697799E-3</v>
      </c>
      <c r="DO35" s="240">
        <f t="shared" si="94"/>
        <v>0.95308171327181757</v>
      </c>
      <c r="DP35" s="84">
        <f t="shared" si="95"/>
        <v>0</v>
      </c>
      <c r="DQ35" s="84">
        <f>IF(DP35="","",IF(OR(DP35=1,IF(ISNA(MATCH("מוגן",$I35:DP35,0)),FALSE,TRUE)),1,0))</f>
        <v>0</v>
      </c>
      <c r="DR35" s="241">
        <f t="shared" si="96"/>
        <v>4.2988868423697799E-3</v>
      </c>
      <c r="DS35" s="241" t="str">
        <f t="shared" si="97"/>
        <v>סיום</v>
      </c>
      <c r="DT35" s="242">
        <f t="shared" si="98"/>
        <v>4.2988868423697799E-3</v>
      </c>
      <c r="DU35" s="240">
        <f t="shared" si="99"/>
        <v>0.95308171327181757</v>
      </c>
      <c r="DV35" s="84">
        <f t="shared" si="100"/>
        <v>0</v>
      </c>
      <c r="DW35" s="84">
        <f>IF(DV35="","",IF(OR(DV35=1,IF(ISNA(MATCH("מוגן",$I35:DV35,0)),FALSE,TRUE)),1,0))</f>
        <v>0</v>
      </c>
      <c r="DX35" s="241">
        <f t="shared" si="101"/>
        <v>4.2988868423697799E-3</v>
      </c>
      <c r="DY35" s="241" t="str">
        <f t="shared" si="102"/>
        <v>סיום</v>
      </c>
      <c r="DZ35" s="242">
        <f t="shared" si="103"/>
        <v>4.2988868423697799E-3</v>
      </c>
      <c r="EA35" s="240">
        <f t="shared" si="104"/>
        <v>0.95308171327181757</v>
      </c>
      <c r="EB35" s="84">
        <f t="shared" si="105"/>
        <v>0</v>
      </c>
      <c r="EC35" s="84">
        <f>IF(EB35="","",IF(OR(EB35=1,IF(ISNA(MATCH("מוגן",$I35:EB35,0)),FALSE,TRUE)),1,0))</f>
        <v>0</v>
      </c>
      <c r="ED35" s="241">
        <f t="shared" si="106"/>
        <v>4.2988868423697799E-3</v>
      </c>
      <c r="EE35" s="241" t="str">
        <f t="shared" si="107"/>
        <v>סיום</v>
      </c>
      <c r="EF35" s="242">
        <f t="shared" si="108"/>
        <v>4.2988868423697799E-3</v>
      </c>
      <c r="EG35" s="240">
        <f t="shared" si="109"/>
        <v>0.95308171327181757</v>
      </c>
      <c r="EH35" s="84">
        <f t="shared" si="110"/>
        <v>0</v>
      </c>
      <c r="EI35" s="84">
        <f>IF(EH35="","",IF(OR(EH35=1,IF(ISNA(MATCH("מוגן",$I35:EH35,0)),FALSE,TRUE)),1,0))</f>
        <v>0</v>
      </c>
      <c r="EJ35" s="241">
        <f t="shared" si="111"/>
        <v>4.2988868423697799E-3</v>
      </c>
      <c r="EK35" s="241" t="str">
        <f t="shared" si="112"/>
        <v>סיום</v>
      </c>
      <c r="EL35" s="242">
        <f t="shared" si="113"/>
        <v>4.2988868423697799E-3</v>
      </c>
      <c r="EM35" s="240">
        <f t="shared" si="114"/>
        <v>0.95308171327181757</v>
      </c>
      <c r="EN35" s="84">
        <f t="shared" si="115"/>
        <v>0</v>
      </c>
      <c r="EO35" s="84">
        <f>IF(EN35="","",IF(OR(EN35=1,IF(ISNA(MATCH("מוגן",$I35:EN35,0)),FALSE,TRUE)),1,0))</f>
        <v>0</v>
      </c>
      <c r="EP35" s="241">
        <f t="shared" si="116"/>
        <v>4.2988868423697799E-3</v>
      </c>
      <c r="EQ35" s="241" t="str">
        <f t="shared" si="117"/>
        <v>סיום</v>
      </c>
      <c r="ER35" s="242">
        <f t="shared" si="118"/>
        <v>4.2988868423697799E-3</v>
      </c>
      <c r="ES35" s="240">
        <f t="shared" si="119"/>
        <v>0.95308171327181757</v>
      </c>
      <c r="ET35" s="84">
        <f t="shared" si="120"/>
        <v>0</v>
      </c>
      <c r="EU35" s="84">
        <f>IF(ET35="","",IF(OR(ET35=1,IF(ISNA(MATCH("מוגן",$I35:ET35,0)),FALSE,TRUE)),1,0))</f>
        <v>0</v>
      </c>
      <c r="EV35" s="241">
        <f t="shared" si="121"/>
        <v>4.2988868423697799E-3</v>
      </c>
      <c r="EW35" s="241" t="str">
        <f t="shared" si="122"/>
        <v>סיום</v>
      </c>
      <c r="EX35" s="242">
        <f t="shared" si="123"/>
        <v>4.2988868423697799E-3</v>
      </c>
      <c r="EY35" s="240">
        <f t="shared" si="124"/>
        <v>0.95308171327181757</v>
      </c>
      <c r="EZ35" s="84">
        <f t="shared" si="125"/>
        <v>0</v>
      </c>
      <c r="FA35" s="84">
        <f>IF(EZ35="","",IF(OR(EZ35=1,IF(ISNA(MATCH("מוגן",$I35:EZ35,0)),FALSE,TRUE)),1,0))</f>
        <v>0</v>
      </c>
      <c r="FB35" s="241">
        <f t="shared" si="126"/>
        <v>4.2988868423697799E-3</v>
      </c>
      <c r="FC35" s="241" t="str">
        <f t="shared" si="127"/>
        <v>סיום</v>
      </c>
      <c r="FD35" s="242">
        <f t="shared" si="128"/>
        <v>4.2988868423697799E-3</v>
      </c>
      <c r="FE35" s="240">
        <f t="shared" si="129"/>
        <v>0.95308171327181757</v>
      </c>
      <c r="FF35" s="84">
        <f t="shared" si="130"/>
        <v>0</v>
      </c>
      <c r="FG35" s="84">
        <f>IF(FF35="","",IF(OR(FF35=1,IF(ISNA(MATCH("מוגן",$I35:FF35,0)),FALSE,TRUE)),1,0))</f>
        <v>0</v>
      </c>
      <c r="FH35" s="241">
        <f t="shared" si="131"/>
        <v>4.2988868423697799E-3</v>
      </c>
      <c r="FI35" s="241" t="str">
        <f t="shared" si="132"/>
        <v>סיום</v>
      </c>
      <c r="FJ35" s="242">
        <f t="shared" si="133"/>
        <v>4.2988868423697799E-3</v>
      </c>
      <c r="FK35" s="240">
        <f t="shared" si="134"/>
        <v>0.95308171327181757</v>
      </c>
      <c r="FL35" s="84">
        <f t="shared" si="135"/>
        <v>0</v>
      </c>
      <c r="FM35" s="84">
        <f>IF(FL35="","",IF(OR(FL35=1,IF(ISNA(MATCH("מוגן",$I35:FL35,0)),FALSE,TRUE)),1,0))</f>
        <v>0</v>
      </c>
      <c r="FN35" s="241">
        <f t="shared" si="136"/>
        <v>4.2988868423697799E-3</v>
      </c>
      <c r="FO35" s="241" t="str">
        <f t="shared" si="137"/>
        <v>סיום</v>
      </c>
      <c r="FP35" s="242">
        <f t="shared" si="138"/>
        <v>4.2988868423697799E-3</v>
      </c>
      <c r="FQ35" s="240">
        <f t="shared" si="139"/>
        <v>0.95308171327181757</v>
      </c>
      <c r="FR35" s="84">
        <f t="shared" si="140"/>
        <v>0</v>
      </c>
      <c r="FS35" s="84">
        <f>IF(FR35="","",IF(OR(FR35=1,IF(ISNA(MATCH("מוגן",$I35:FR35,0)),FALSE,TRUE)),1,0))</f>
        <v>0</v>
      </c>
      <c r="FT35" s="241">
        <f t="shared" si="141"/>
        <v>4.2988868423697799E-3</v>
      </c>
      <c r="FU35" s="241" t="str">
        <f t="shared" si="142"/>
        <v>סיום</v>
      </c>
      <c r="FV35" s="242">
        <f t="shared" si="143"/>
        <v>4.2988868423697799E-3</v>
      </c>
      <c r="FW35" s="240">
        <f t="shared" si="144"/>
        <v>0.95308171327181757</v>
      </c>
      <c r="FX35" s="84">
        <f t="shared" si="145"/>
        <v>0</v>
      </c>
      <c r="FY35" s="84">
        <f>IF(FX35="","",IF(OR(FX35=1,IF(ISNA(MATCH("מוגן",$I35:FX35,0)),FALSE,TRUE)),1,0))</f>
        <v>0</v>
      </c>
      <c r="FZ35" s="241">
        <f t="shared" si="146"/>
        <v>4.2988868423697799E-3</v>
      </c>
      <c r="GA35" s="241" t="str">
        <f t="shared" si="147"/>
        <v>סיום</v>
      </c>
      <c r="GB35" s="242">
        <f t="shared" si="148"/>
        <v>4.2988868423697799E-3</v>
      </c>
      <c r="GC35" s="240">
        <f t="shared" si="149"/>
        <v>0.95308171327181757</v>
      </c>
      <c r="GD35" s="84">
        <f t="shared" si="150"/>
        <v>0</v>
      </c>
      <c r="GE35" s="84">
        <f>IF(GD35="","",IF(OR(GD35=1,IF(ISNA(MATCH("מוגן",$I35:GD35,0)),FALSE,TRUE)),1,0))</f>
        <v>0</v>
      </c>
      <c r="GF35" s="241">
        <f t="shared" si="151"/>
        <v>4.2988868423697799E-3</v>
      </c>
      <c r="GG35" s="241" t="str">
        <f t="shared" si="152"/>
        <v>סיום</v>
      </c>
      <c r="GH35" s="242">
        <f t="shared" si="153"/>
        <v>4.2988868423697799E-3</v>
      </c>
      <c r="GI35" s="240">
        <f t="shared" si="154"/>
        <v>0.95308171327181757</v>
      </c>
      <c r="GJ35" s="84">
        <f t="shared" si="155"/>
        <v>0</v>
      </c>
      <c r="GK35" s="84">
        <f>IF(GJ35="","",IF(OR(GJ35=1,IF(ISNA(MATCH("מוגן",$I35:GJ35,0)),FALSE,TRUE)),1,0))</f>
        <v>0</v>
      </c>
      <c r="GL35" s="241">
        <f t="shared" si="156"/>
        <v>4.2988868423697799E-3</v>
      </c>
      <c r="GM35" s="241" t="str">
        <f t="shared" si="157"/>
        <v>סיום</v>
      </c>
      <c r="GN35" s="242">
        <f t="shared" si="158"/>
        <v>4.2988868423697799E-3</v>
      </c>
      <c r="GO35" s="240">
        <f t="shared" si="159"/>
        <v>0.95308171327181757</v>
      </c>
      <c r="GP35" s="84">
        <f t="shared" si="160"/>
        <v>0</v>
      </c>
      <c r="GQ35" s="84">
        <f>IF(GP35="","",IF(OR(GP35=1,IF(ISNA(MATCH("מוגן",$I35:GP35,0)),FALSE,TRUE)),1,0))</f>
        <v>0</v>
      </c>
      <c r="GR35" s="241">
        <f t="shared" si="161"/>
        <v>4.2988868423697799E-3</v>
      </c>
      <c r="GS35" s="241" t="str">
        <f t="shared" si="162"/>
        <v>סיום</v>
      </c>
      <c r="GT35" s="242">
        <f t="shared" si="163"/>
        <v>4.2988868423697799E-3</v>
      </c>
      <c r="GU35" s="240">
        <f t="shared" si="164"/>
        <v>0.95308171327181757</v>
      </c>
      <c r="GV35" s="84">
        <f t="shared" si="165"/>
        <v>0</v>
      </c>
      <c r="GW35" s="84">
        <f>IF(GV35="","",IF(OR(GV35=1,IF(ISNA(MATCH("מוגן",$I35:GV35,0)),FALSE,TRUE)),1,0))</f>
        <v>0</v>
      </c>
      <c r="GX35" s="241">
        <f t="shared" si="166"/>
        <v>4.2988868423697799E-3</v>
      </c>
      <c r="GY35" s="241" t="str">
        <f t="shared" si="167"/>
        <v>סיום</v>
      </c>
      <c r="GZ35" s="242">
        <f t="shared" si="168"/>
        <v>4.2988868423697799E-3</v>
      </c>
      <c r="HA35" s="119">
        <f t="shared" si="169"/>
        <v>424824.66001996904</v>
      </c>
      <c r="HB35" s="246" t="str">
        <f t="shared" si="170"/>
        <v>OK</v>
      </c>
      <c r="HC35" s="244">
        <f t="shared" si="171"/>
        <v>0.95308171327181757</v>
      </c>
      <c r="HD35" s="245">
        <f t="shared" si="172"/>
        <v>4.2988868423697799E-3</v>
      </c>
      <c r="HE35" s="111">
        <f t="shared" si="173"/>
        <v>0</v>
      </c>
      <c r="HF35" s="111">
        <f t="shared" si="174"/>
        <v>1</v>
      </c>
      <c r="HG35" s="111" t="b">
        <f>OR(B35="",ISNA(MATCH(C35,{0,1},0)))</f>
        <v>0</v>
      </c>
    </row>
    <row r="36" spans="1:215">
      <c r="A36" s="120">
        <f>ייצוב!A32</f>
        <v>28</v>
      </c>
      <c r="B36" s="121" t="str">
        <f>ייצוב!B32</f>
        <v xml:space="preserve">גשן </v>
      </c>
      <c r="C36" s="67"/>
      <c r="D36" s="240">
        <f>ייצוב!E32</f>
        <v>8.3283169824444111E-3</v>
      </c>
      <c r="E36" s="240">
        <f>ייצוב!G32</f>
        <v>8.2805206457423532E-3</v>
      </c>
      <c r="F36" s="240">
        <f t="shared" si="0"/>
        <v>0.99426098492614901</v>
      </c>
      <c r="G36" s="84">
        <f t="shared" si="1"/>
        <v>0</v>
      </c>
      <c r="H36" s="241">
        <f t="shared" si="2"/>
        <v>8.2805206457423532E-3</v>
      </c>
      <c r="I36" s="241">
        <f t="array" ref="I36">IF(H36="","",IF(G36=1,"מוגן",H36/SUMIF(G$9:G$41,"=0",H$9:H$41)))</f>
        <v>8.2805206457423532E-3</v>
      </c>
      <c r="J36" s="242">
        <f t="shared" si="3"/>
        <v>8.2805206457423532E-3</v>
      </c>
      <c r="K36" s="240">
        <f t="shared" si="4"/>
        <v>0.99426098492614901</v>
      </c>
      <c r="L36" s="84">
        <f t="shared" si="5"/>
        <v>0</v>
      </c>
      <c r="M36" s="84">
        <f>IF(L36="","",IF(OR(L36=1,IF(ISNA(MATCH("מוגן",$I36:L36,0)),FALSE,TRUE)),1,0))</f>
        <v>0</v>
      </c>
      <c r="N36" s="241">
        <f t="shared" si="6"/>
        <v>8.2805206457423532E-3</v>
      </c>
      <c r="O36" s="241" t="str">
        <f t="shared" si="7"/>
        <v>סיום</v>
      </c>
      <c r="P36" s="242">
        <f t="shared" si="8"/>
        <v>8.2805206457423532E-3</v>
      </c>
      <c r="Q36" s="240">
        <f t="shared" si="9"/>
        <v>0.99426098492614901</v>
      </c>
      <c r="R36" s="84">
        <f t="shared" si="10"/>
        <v>0</v>
      </c>
      <c r="S36" s="84">
        <f>IF(R36="","",IF(OR(R36=1,IF(ISNA(MATCH("מוגן",$I36:R36,0)),FALSE,TRUE)),1,0))</f>
        <v>0</v>
      </c>
      <c r="T36" s="241">
        <f t="shared" si="11"/>
        <v>8.2805206457423532E-3</v>
      </c>
      <c r="U36" s="241" t="str">
        <f t="shared" si="12"/>
        <v>סיום</v>
      </c>
      <c r="V36" s="242">
        <f t="shared" si="13"/>
        <v>8.2805206457423532E-3</v>
      </c>
      <c r="W36" s="240">
        <f t="shared" si="14"/>
        <v>0.99426098492614901</v>
      </c>
      <c r="X36" s="84">
        <f t="shared" si="15"/>
        <v>0</v>
      </c>
      <c r="Y36" s="84">
        <f>IF(X36="","",IF(OR(X36=1,IF(ISNA(MATCH("מוגן",$I36:X36,0)),FALSE,TRUE)),1,0))</f>
        <v>0</v>
      </c>
      <c r="Z36" s="241">
        <f t="shared" si="16"/>
        <v>8.2805206457423532E-3</v>
      </c>
      <c r="AA36" s="241" t="str">
        <f t="shared" si="17"/>
        <v>סיום</v>
      </c>
      <c r="AB36" s="242">
        <f t="shared" si="18"/>
        <v>8.2805206457423532E-3</v>
      </c>
      <c r="AC36" s="240">
        <f t="shared" si="19"/>
        <v>0.99426098492614901</v>
      </c>
      <c r="AD36" s="84">
        <f t="shared" si="20"/>
        <v>0</v>
      </c>
      <c r="AE36" s="84">
        <f>IF(AD36="","",IF(OR(AD36=1,IF(ISNA(MATCH("מוגן",$I36:AD36,0)),FALSE,TRUE)),1,0))</f>
        <v>0</v>
      </c>
      <c r="AF36" s="241">
        <f t="shared" si="21"/>
        <v>8.2805206457423532E-3</v>
      </c>
      <c r="AG36" s="241" t="str">
        <f t="shared" si="22"/>
        <v>סיום</v>
      </c>
      <c r="AH36" s="242">
        <f t="shared" si="23"/>
        <v>8.2805206457423532E-3</v>
      </c>
      <c r="AI36" s="240">
        <f t="shared" si="24"/>
        <v>0.99426098492614901</v>
      </c>
      <c r="AJ36" s="84">
        <f t="shared" si="25"/>
        <v>0</v>
      </c>
      <c r="AK36" s="84">
        <f>IF(AJ36="","",IF(OR(AJ36=1,IF(ISNA(MATCH("מוגן",$I36:AJ36,0)),FALSE,TRUE)),1,0))</f>
        <v>0</v>
      </c>
      <c r="AL36" s="241">
        <f t="shared" si="26"/>
        <v>8.2805206457423532E-3</v>
      </c>
      <c r="AM36" s="241" t="str">
        <f t="shared" si="27"/>
        <v>סיום</v>
      </c>
      <c r="AN36" s="242">
        <f t="shared" si="28"/>
        <v>8.2805206457423532E-3</v>
      </c>
      <c r="AO36" s="240">
        <f t="shared" si="29"/>
        <v>0.99426098492614901</v>
      </c>
      <c r="AP36" s="84">
        <f t="shared" si="30"/>
        <v>0</v>
      </c>
      <c r="AQ36" s="84">
        <f>IF(AP36="","",IF(OR(AP36=1,IF(ISNA(MATCH("מוגן",$I36:AP36,0)),FALSE,TRUE)),1,0))</f>
        <v>0</v>
      </c>
      <c r="AR36" s="241">
        <f t="shared" si="31"/>
        <v>8.2805206457423532E-3</v>
      </c>
      <c r="AS36" s="241" t="str">
        <f t="shared" si="32"/>
        <v>סיום</v>
      </c>
      <c r="AT36" s="242">
        <f t="shared" si="33"/>
        <v>8.2805206457423532E-3</v>
      </c>
      <c r="AU36" s="240">
        <f t="shared" si="34"/>
        <v>0.99426098492614901</v>
      </c>
      <c r="AV36" s="84">
        <f t="shared" si="35"/>
        <v>0</v>
      </c>
      <c r="AW36" s="84">
        <f>IF(AV36="","",IF(OR(AV36=1,IF(ISNA(MATCH("מוגן",$I36:AV36,0)),FALSE,TRUE)),1,0))</f>
        <v>0</v>
      </c>
      <c r="AX36" s="241">
        <f t="shared" si="36"/>
        <v>8.2805206457423532E-3</v>
      </c>
      <c r="AY36" s="241" t="str">
        <f t="shared" si="37"/>
        <v>סיום</v>
      </c>
      <c r="AZ36" s="242">
        <f t="shared" si="38"/>
        <v>8.2805206457423532E-3</v>
      </c>
      <c r="BA36" s="240">
        <f t="shared" si="39"/>
        <v>0.99426098492614901</v>
      </c>
      <c r="BB36" s="84">
        <f t="shared" si="40"/>
        <v>0</v>
      </c>
      <c r="BC36" s="84">
        <f>IF(BB36="","",IF(OR(BB36=1,IF(ISNA(MATCH("מוגן",$I36:BB36,0)),FALSE,TRUE)),1,0))</f>
        <v>0</v>
      </c>
      <c r="BD36" s="241">
        <f t="shared" si="41"/>
        <v>8.2805206457423532E-3</v>
      </c>
      <c r="BE36" s="241" t="str">
        <f t="shared" si="42"/>
        <v>סיום</v>
      </c>
      <c r="BF36" s="242">
        <f t="shared" si="43"/>
        <v>8.2805206457423532E-3</v>
      </c>
      <c r="BG36" s="240">
        <f t="shared" si="44"/>
        <v>0.99426098492614901</v>
      </c>
      <c r="BH36" s="84">
        <f t="shared" si="45"/>
        <v>0</v>
      </c>
      <c r="BI36" s="84">
        <f>IF(BH36="","",IF(OR(BH36=1,IF(ISNA(MATCH("מוגן",$I36:BH36,0)),FALSE,TRUE)),1,0))</f>
        <v>0</v>
      </c>
      <c r="BJ36" s="241">
        <f t="shared" si="46"/>
        <v>8.2805206457423532E-3</v>
      </c>
      <c r="BK36" s="241" t="str">
        <f t="shared" si="47"/>
        <v>סיום</v>
      </c>
      <c r="BL36" s="242">
        <f t="shared" si="48"/>
        <v>8.2805206457423532E-3</v>
      </c>
      <c r="BM36" s="240">
        <f t="shared" si="49"/>
        <v>0.99426098492614901</v>
      </c>
      <c r="BN36" s="84">
        <f t="shared" si="50"/>
        <v>0</v>
      </c>
      <c r="BO36" s="84">
        <f>IF(BN36="","",IF(OR(BN36=1,IF(ISNA(MATCH("מוגן",$I36:BN36,0)),FALSE,TRUE)),1,0))</f>
        <v>0</v>
      </c>
      <c r="BP36" s="241">
        <f t="shared" si="51"/>
        <v>8.2805206457423532E-3</v>
      </c>
      <c r="BQ36" s="241" t="str">
        <f t="shared" si="52"/>
        <v>סיום</v>
      </c>
      <c r="BR36" s="242">
        <f t="shared" si="53"/>
        <v>8.2805206457423532E-3</v>
      </c>
      <c r="BS36" s="240">
        <f t="shared" si="54"/>
        <v>0.99426098492614901</v>
      </c>
      <c r="BT36" s="84">
        <f t="shared" si="55"/>
        <v>0</v>
      </c>
      <c r="BU36" s="84">
        <f>IF(BT36="","",IF(OR(BT36=1,IF(ISNA(MATCH("מוגן",$I36:BT36,0)),FALSE,TRUE)),1,0))</f>
        <v>0</v>
      </c>
      <c r="BV36" s="241">
        <f t="shared" si="56"/>
        <v>8.2805206457423532E-3</v>
      </c>
      <c r="BW36" s="241" t="str">
        <f t="shared" si="57"/>
        <v>סיום</v>
      </c>
      <c r="BX36" s="242">
        <f t="shared" si="58"/>
        <v>8.2805206457423532E-3</v>
      </c>
      <c r="BY36" s="240">
        <f t="shared" si="59"/>
        <v>0.99426098492614901</v>
      </c>
      <c r="BZ36" s="84">
        <f t="shared" si="60"/>
        <v>0</v>
      </c>
      <c r="CA36" s="84">
        <f>IF(BZ36="","",IF(OR(BZ36=1,IF(ISNA(MATCH("מוגן",$I36:BZ36,0)),FALSE,TRUE)),1,0))</f>
        <v>0</v>
      </c>
      <c r="CB36" s="241">
        <f t="shared" si="61"/>
        <v>8.2805206457423532E-3</v>
      </c>
      <c r="CC36" s="241" t="str">
        <f t="shared" si="62"/>
        <v>סיום</v>
      </c>
      <c r="CD36" s="242">
        <f t="shared" si="63"/>
        <v>8.2805206457423532E-3</v>
      </c>
      <c r="CE36" s="240">
        <f t="shared" si="64"/>
        <v>0.99426098492614901</v>
      </c>
      <c r="CF36" s="84">
        <f t="shared" si="65"/>
        <v>0</v>
      </c>
      <c r="CG36" s="84">
        <f>IF(CF36="","",IF(OR(CF36=1,IF(ISNA(MATCH("מוגן",$I36:CF36,0)),FALSE,TRUE)),1,0))</f>
        <v>0</v>
      </c>
      <c r="CH36" s="241">
        <f t="shared" si="66"/>
        <v>8.2805206457423532E-3</v>
      </c>
      <c r="CI36" s="241" t="str">
        <f t="shared" si="67"/>
        <v>סיום</v>
      </c>
      <c r="CJ36" s="242">
        <f t="shared" si="68"/>
        <v>8.2805206457423532E-3</v>
      </c>
      <c r="CK36" s="240">
        <f t="shared" si="69"/>
        <v>0.99426098492614901</v>
      </c>
      <c r="CL36" s="84">
        <f t="shared" si="70"/>
        <v>0</v>
      </c>
      <c r="CM36" s="84">
        <f>IF(CL36="","",IF(OR(CL36=1,IF(ISNA(MATCH("מוגן",$I36:CL36,0)),FALSE,TRUE)),1,0))</f>
        <v>0</v>
      </c>
      <c r="CN36" s="241">
        <f t="shared" si="71"/>
        <v>8.2805206457423532E-3</v>
      </c>
      <c r="CO36" s="241" t="str">
        <f t="shared" si="72"/>
        <v>סיום</v>
      </c>
      <c r="CP36" s="242">
        <f t="shared" si="73"/>
        <v>8.2805206457423532E-3</v>
      </c>
      <c r="CQ36" s="240">
        <f t="shared" si="74"/>
        <v>0.99426098492614901</v>
      </c>
      <c r="CR36" s="84">
        <f t="shared" si="75"/>
        <v>0</v>
      </c>
      <c r="CS36" s="84">
        <f>IF(CR36="","",IF(OR(CR36=1,IF(ISNA(MATCH("מוגן",$I36:CR36,0)),FALSE,TRUE)),1,0))</f>
        <v>0</v>
      </c>
      <c r="CT36" s="241">
        <f t="shared" si="76"/>
        <v>8.2805206457423532E-3</v>
      </c>
      <c r="CU36" s="241" t="str">
        <f t="shared" si="77"/>
        <v>סיום</v>
      </c>
      <c r="CV36" s="242">
        <f t="shared" si="78"/>
        <v>8.2805206457423532E-3</v>
      </c>
      <c r="CW36" s="240">
        <f t="shared" si="79"/>
        <v>0.99426098492614901</v>
      </c>
      <c r="CX36" s="84">
        <f t="shared" si="80"/>
        <v>0</v>
      </c>
      <c r="CY36" s="84">
        <f>IF(CX36="","",IF(OR(CX36=1,IF(ISNA(MATCH("מוגן",$I36:CX36,0)),FALSE,TRUE)),1,0))</f>
        <v>0</v>
      </c>
      <c r="CZ36" s="241">
        <f t="shared" si="81"/>
        <v>8.2805206457423532E-3</v>
      </c>
      <c r="DA36" s="241" t="str">
        <f t="shared" si="82"/>
        <v>סיום</v>
      </c>
      <c r="DB36" s="242">
        <f t="shared" si="83"/>
        <v>8.2805206457423532E-3</v>
      </c>
      <c r="DC36" s="240">
        <f t="shared" si="84"/>
        <v>0.99426098492614901</v>
      </c>
      <c r="DD36" s="84">
        <f t="shared" si="85"/>
        <v>0</v>
      </c>
      <c r="DE36" s="84">
        <f>IF(DD36="","",IF(OR(DD36=1,IF(ISNA(MATCH("מוגן",$I36:DD36,0)),FALSE,TRUE)),1,0))</f>
        <v>0</v>
      </c>
      <c r="DF36" s="241">
        <f t="shared" si="86"/>
        <v>8.2805206457423532E-3</v>
      </c>
      <c r="DG36" s="241" t="str">
        <f t="shared" si="87"/>
        <v>סיום</v>
      </c>
      <c r="DH36" s="242">
        <f t="shared" si="88"/>
        <v>8.2805206457423532E-3</v>
      </c>
      <c r="DI36" s="240">
        <f t="shared" si="89"/>
        <v>0.99426098492614901</v>
      </c>
      <c r="DJ36" s="84">
        <f t="shared" si="90"/>
        <v>0</v>
      </c>
      <c r="DK36" s="84">
        <f>IF(DJ36="","",IF(OR(DJ36=1,IF(ISNA(MATCH("מוגן",$I36:DJ36,0)),FALSE,TRUE)),1,0))</f>
        <v>0</v>
      </c>
      <c r="DL36" s="241">
        <f t="shared" si="91"/>
        <v>8.2805206457423532E-3</v>
      </c>
      <c r="DM36" s="241" t="str">
        <f t="shared" si="92"/>
        <v>סיום</v>
      </c>
      <c r="DN36" s="242">
        <f t="shared" si="93"/>
        <v>8.2805206457423532E-3</v>
      </c>
      <c r="DO36" s="240">
        <f t="shared" si="94"/>
        <v>0.99426098492614901</v>
      </c>
      <c r="DP36" s="84">
        <f t="shared" si="95"/>
        <v>0</v>
      </c>
      <c r="DQ36" s="84">
        <f>IF(DP36="","",IF(OR(DP36=1,IF(ISNA(MATCH("מוגן",$I36:DP36,0)),FALSE,TRUE)),1,0))</f>
        <v>0</v>
      </c>
      <c r="DR36" s="241">
        <f t="shared" si="96"/>
        <v>8.2805206457423532E-3</v>
      </c>
      <c r="DS36" s="241" t="str">
        <f t="shared" si="97"/>
        <v>סיום</v>
      </c>
      <c r="DT36" s="242">
        <f t="shared" si="98"/>
        <v>8.2805206457423532E-3</v>
      </c>
      <c r="DU36" s="240">
        <f t="shared" si="99"/>
        <v>0.99426098492614901</v>
      </c>
      <c r="DV36" s="84">
        <f t="shared" si="100"/>
        <v>0</v>
      </c>
      <c r="DW36" s="84">
        <f>IF(DV36="","",IF(OR(DV36=1,IF(ISNA(MATCH("מוגן",$I36:DV36,0)),FALSE,TRUE)),1,0))</f>
        <v>0</v>
      </c>
      <c r="DX36" s="241">
        <f t="shared" si="101"/>
        <v>8.2805206457423532E-3</v>
      </c>
      <c r="DY36" s="241" t="str">
        <f t="shared" si="102"/>
        <v>סיום</v>
      </c>
      <c r="DZ36" s="242">
        <f t="shared" si="103"/>
        <v>8.2805206457423532E-3</v>
      </c>
      <c r="EA36" s="240">
        <f t="shared" si="104"/>
        <v>0.99426098492614901</v>
      </c>
      <c r="EB36" s="84">
        <f t="shared" si="105"/>
        <v>0</v>
      </c>
      <c r="EC36" s="84">
        <f>IF(EB36="","",IF(OR(EB36=1,IF(ISNA(MATCH("מוגן",$I36:EB36,0)),FALSE,TRUE)),1,0))</f>
        <v>0</v>
      </c>
      <c r="ED36" s="241">
        <f t="shared" si="106"/>
        <v>8.2805206457423532E-3</v>
      </c>
      <c r="EE36" s="241" t="str">
        <f t="shared" si="107"/>
        <v>סיום</v>
      </c>
      <c r="EF36" s="242">
        <f t="shared" si="108"/>
        <v>8.2805206457423532E-3</v>
      </c>
      <c r="EG36" s="240">
        <f t="shared" si="109"/>
        <v>0.99426098492614901</v>
      </c>
      <c r="EH36" s="84">
        <f t="shared" si="110"/>
        <v>0</v>
      </c>
      <c r="EI36" s="84">
        <f>IF(EH36="","",IF(OR(EH36=1,IF(ISNA(MATCH("מוגן",$I36:EH36,0)),FALSE,TRUE)),1,0))</f>
        <v>0</v>
      </c>
      <c r="EJ36" s="241">
        <f t="shared" si="111"/>
        <v>8.2805206457423532E-3</v>
      </c>
      <c r="EK36" s="241" t="str">
        <f t="shared" si="112"/>
        <v>סיום</v>
      </c>
      <c r="EL36" s="242">
        <f t="shared" si="113"/>
        <v>8.2805206457423532E-3</v>
      </c>
      <c r="EM36" s="240">
        <f t="shared" si="114"/>
        <v>0.99426098492614901</v>
      </c>
      <c r="EN36" s="84">
        <f t="shared" si="115"/>
        <v>0</v>
      </c>
      <c r="EO36" s="84">
        <f>IF(EN36="","",IF(OR(EN36=1,IF(ISNA(MATCH("מוגן",$I36:EN36,0)),FALSE,TRUE)),1,0))</f>
        <v>0</v>
      </c>
      <c r="EP36" s="241">
        <f t="shared" si="116"/>
        <v>8.2805206457423532E-3</v>
      </c>
      <c r="EQ36" s="241" t="str">
        <f t="shared" si="117"/>
        <v>סיום</v>
      </c>
      <c r="ER36" s="242">
        <f t="shared" si="118"/>
        <v>8.2805206457423532E-3</v>
      </c>
      <c r="ES36" s="240">
        <f t="shared" si="119"/>
        <v>0.99426098492614901</v>
      </c>
      <c r="ET36" s="84">
        <f t="shared" si="120"/>
        <v>0</v>
      </c>
      <c r="EU36" s="84">
        <f>IF(ET36="","",IF(OR(ET36=1,IF(ISNA(MATCH("מוגן",$I36:ET36,0)),FALSE,TRUE)),1,0))</f>
        <v>0</v>
      </c>
      <c r="EV36" s="241">
        <f t="shared" si="121"/>
        <v>8.2805206457423532E-3</v>
      </c>
      <c r="EW36" s="241" t="str">
        <f t="shared" si="122"/>
        <v>סיום</v>
      </c>
      <c r="EX36" s="242">
        <f t="shared" si="123"/>
        <v>8.2805206457423532E-3</v>
      </c>
      <c r="EY36" s="240">
        <f t="shared" si="124"/>
        <v>0.99426098492614901</v>
      </c>
      <c r="EZ36" s="84">
        <f t="shared" si="125"/>
        <v>0</v>
      </c>
      <c r="FA36" s="84">
        <f>IF(EZ36="","",IF(OR(EZ36=1,IF(ISNA(MATCH("מוגן",$I36:EZ36,0)),FALSE,TRUE)),1,0))</f>
        <v>0</v>
      </c>
      <c r="FB36" s="241">
        <f t="shared" si="126"/>
        <v>8.2805206457423532E-3</v>
      </c>
      <c r="FC36" s="241" t="str">
        <f t="shared" si="127"/>
        <v>סיום</v>
      </c>
      <c r="FD36" s="242">
        <f t="shared" si="128"/>
        <v>8.2805206457423532E-3</v>
      </c>
      <c r="FE36" s="240">
        <f t="shared" si="129"/>
        <v>0.99426098492614901</v>
      </c>
      <c r="FF36" s="84">
        <f t="shared" si="130"/>
        <v>0</v>
      </c>
      <c r="FG36" s="84">
        <f>IF(FF36="","",IF(OR(FF36=1,IF(ISNA(MATCH("מוגן",$I36:FF36,0)),FALSE,TRUE)),1,0))</f>
        <v>0</v>
      </c>
      <c r="FH36" s="241">
        <f t="shared" si="131"/>
        <v>8.2805206457423532E-3</v>
      </c>
      <c r="FI36" s="241" t="str">
        <f t="shared" si="132"/>
        <v>סיום</v>
      </c>
      <c r="FJ36" s="242">
        <f t="shared" si="133"/>
        <v>8.2805206457423532E-3</v>
      </c>
      <c r="FK36" s="240">
        <f t="shared" si="134"/>
        <v>0.99426098492614901</v>
      </c>
      <c r="FL36" s="84">
        <f t="shared" si="135"/>
        <v>0</v>
      </c>
      <c r="FM36" s="84">
        <f>IF(FL36="","",IF(OR(FL36=1,IF(ISNA(MATCH("מוגן",$I36:FL36,0)),FALSE,TRUE)),1,0))</f>
        <v>0</v>
      </c>
      <c r="FN36" s="241">
        <f t="shared" si="136"/>
        <v>8.2805206457423532E-3</v>
      </c>
      <c r="FO36" s="241" t="str">
        <f t="shared" si="137"/>
        <v>סיום</v>
      </c>
      <c r="FP36" s="242">
        <f t="shared" si="138"/>
        <v>8.2805206457423532E-3</v>
      </c>
      <c r="FQ36" s="240">
        <f t="shared" si="139"/>
        <v>0.99426098492614901</v>
      </c>
      <c r="FR36" s="84">
        <f t="shared" si="140"/>
        <v>0</v>
      </c>
      <c r="FS36" s="84">
        <f>IF(FR36="","",IF(OR(FR36=1,IF(ISNA(MATCH("מוגן",$I36:FR36,0)),FALSE,TRUE)),1,0))</f>
        <v>0</v>
      </c>
      <c r="FT36" s="241">
        <f t="shared" si="141"/>
        <v>8.2805206457423532E-3</v>
      </c>
      <c r="FU36" s="241" t="str">
        <f t="shared" si="142"/>
        <v>סיום</v>
      </c>
      <c r="FV36" s="242">
        <f t="shared" si="143"/>
        <v>8.2805206457423532E-3</v>
      </c>
      <c r="FW36" s="240">
        <f t="shared" si="144"/>
        <v>0.99426098492614901</v>
      </c>
      <c r="FX36" s="84">
        <f t="shared" si="145"/>
        <v>0</v>
      </c>
      <c r="FY36" s="84">
        <f>IF(FX36="","",IF(OR(FX36=1,IF(ISNA(MATCH("מוגן",$I36:FX36,0)),FALSE,TRUE)),1,0))</f>
        <v>0</v>
      </c>
      <c r="FZ36" s="241">
        <f t="shared" si="146"/>
        <v>8.2805206457423532E-3</v>
      </c>
      <c r="GA36" s="241" t="str">
        <f t="shared" si="147"/>
        <v>סיום</v>
      </c>
      <c r="GB36" s="242">
        <f t="shared" si="148"/>
        <v>8.2805206457423532E-3</v>
      </c>
      <c r="GC36" s="240">
        <f t="shared" si="149"/>
        <v>0.99426098492614901</v>
      </c>
      <c r="GD36" s="84">
        <f t="shared" si="150"/>
        <v>0</v>
      </c>
      <c r="GE36" s="84">
        <f>IF(GD36="","",IF(OR(GD36=1,IF(ISNA(MATCH("מוגן",$I36:GD36,0)),FALSE,TRUE)),1,0))</f>
        <v>0</v>
      </c>
      <c r="GF36" s="241">
        <f t="shared" si="151"/>
        <v>8.2805206457423532E-3</v>
      </c>
      <c r="GG36" s="241" t="str">
        <f t="shared" si="152"/>
        <v>סיום</v>
      </c>
      <c r="GH36" s="242">
        <f t="shared" si="153"/>
        <v>8.2805206457423532E-3</v>
      </c>
      <c r="GI36" s="240">
        <f t="shared" si="154"/>
        <v>0.99426098492614901</v>
      </c>
      <c r="GJ36" s="84">
        <f t="shared" si="155"/>
        <v>0</v>
      </c>
      <c r="GK36" s="84">
        <f>IF(GJ36="","",IF(OR(GJ36=1,IF(ISNA(MATCH("מוגן",$I36:GJ36,0)),FALSE,TRUE)),1,0))</f>
        <v>0</v>
      </c>
      <c r="GL36" s="241">
        <f t="shared" si="156"/>
        <v>8.2805206457423532E-3</v>
      </c>
      <c r="GM36" s="241" t="str">
        <f t="shared" si="157"/>
        <v>סיום</v>
      </c>
      <c r="GN36" s="242">
        <f t="shared" si="158"/>
        <v>8.2805206457423532E-3</v>
      </c>
      <c r="GO36" s="240">
        <f t="shared" si="159"/>
        <v>0.99426098492614901</v>
      </c>
      <c r="GP36" s="84">
        <f t="shared" si="160"/>
        <v>0</v>
      </c>
      <c r="GQ36" s="84">
        <f>IF(GP36="","",IF(OR(GP36=1,IF(ISNA(MATCH("מוגן",$I36:GP36,0)),FALSE,TRUE)),1,0))</f>
        <v>0</v>
      </c>
      <c r="GR36" s="241">
        <f t="shared" si="161"/>
        <v>8.2805206457423532E-3</v>
      </c>
      <c r="GS36" s="241" t="str">
        <f t="shared" si="162"/>
        <v>סיום</v>
      </c>
      <c r="GT36" s="242">
        <f t="shared" si="163"/>
        <v>8.2805206457423532E-3</v>
      </c>
      <c r="GU36" s="240">
        <f t="shared" si="164"/>
        <v>0.99426098492614901</v>
      </c>
      <c r="GV36" s="84">
        <f t="shared" si="165"/>
        <v>0</v>
      </c>
      <c r="GW36" s="84">
        <f>IF(GV36="","",IF(OR(GV36=1,IF(ISNA(MATCH("מוגן",$I36:GV36,0)),FALSE,TRUE)),1,0))</f>
        <v>0</v>
      </c>
      <c r="GX36" s="241">
        <f t="shared" si="166"/>
        <v>8.2805206457423532E-3</v>
      </c>
      <c r="GY36" s="241" t="str">
        <f t="shared" si="167"/>
        <v>סיום</v>
      </c>
      <c r="GZ36" s="242">
        <f t="shared" si="168"/>
        <v>8.2805206457423532E-3</v>
      </c>
      <c r="HA36" s="119">
        <f t="shared" si="169"/>
        <v>818297.73546136054</v>
      </c>
      <c r="HB36" s="246" t="str">
        <f t="shared" si="170"/>
        <v>OK</v>
      </c>
      <c r="HC36" s="244">
        <f t="shared" si="171"/>
        <v>0.99426098492614901</v>
      </c>
      <c r="HD36" s="245">
        <f t="shared" si="172"/>
        <v>8.2805206457423532E-3</v>
      </c>
      <c r="HE36" s="111">
        <f t="shared" si="173"/>
        <v>0</v>
      </c>
      <c r="HF36" s="111">
        <f t="shared" si="174"/>
        <v>1</v>
      </c>
      <c r="HG36" s="111" t="b">
        <f>OR(B36="",ISNA(MATCH(C36,{0,1},0)))</f>
        <v>0</v>
      </c>
    </row>
    <row r="37" spans="1:215">
      <c r="A37" s="120">
        <f>ייצוב!A33</f>
        <v>29</v>
      </c>
      <c r="B37" s="121" t="str">
        <f>ייצוב!B33</f>
        <v>תיאטרון העברי</v>
      </c>
      <c r="C37" s="67"/>
      <c r="D37" s="240">
        <f>ייצוב!E33</f>
        <v>5.2669363915505592E-3</v>
      </c>
      <c r="E37" s="240">
        <f>ייצוב!G33</f>
        <v>6.5702588551208637E-3</v>
      </c>
      <c r="F37" s="240">
        <f t="shared" si="0"/>
        <v>1.2474536175643109</v>
      </c>
      <c r="G37" s="84">
        <f t="shared" si="1"/>
        <v>0</v>
      </c>
      <c r="H37" s="241">
        <f t="shared" si="2"/>
        <v>6.5702588551208637E-3</v>
      </c>
      <c r="I37" s="241">
        <f t="array" ref="I37">IF(H37="","",IF(G37=1,"מוגן",H37/SUMIF(G$9:G$41,"=0",H$9:H$41)))</f>
        <v>6.5702588551208637E-3</v>
      </c>
      <c r="J37" s="242">
        <f t="shared" si="3"/>
        <v>6.5702588551208637E-3</v>
      </c>
      <c r="K37" s="240">
        <f t="shared" si="4"/>
        <v>1.2474536175643109</v>
      </c>
      <c r="L37" s="84">
        <f t="shared" si="5"/>
        <v>0</v>
      </c>
      <c r="M37" s="84">
        <f>IF(L37="","",IF(OR(L37=1,IF(ISNA(MATCH("מוגן",$I37:L37,0)),FALSE,TRUE)),1,0))</f>
        <v>0</v>
      </c>
      <c r="N37" s="241">
        <f t="shared" si="6"/>
        <v>6.5702588551208637E-3</v>
      </c>
      <c r="O37" s="241" t="str">
        <f t="shared" si="7"/>
        <v>סיום</v>
      </c>
      <c r="P37" s="242">
        <f t="shared" si="8"/>
        <v>6.5702588551208637E-3</v>
      </c>
      <c r="Q37" s="240">
        <f t="shared" si="9"/>
        <v>1.2474536175643109</v>
      </c>
      <c r="R37" s="84">
        <f t="shared" si="10"/>
        <v>0</v>
      </c>
      <c r="S37" s="84">
        <f>IF(R37="","",IF(OR(R37=1,IF(ISNA(MATCH("מוגן",$I37:R37,0)),FALSE,TRUE)),1,0))</f>
        <v>0</v>
      </c>
      <c r="T37" s="241">
        <f t="shared" si="11"/>
        <v>6.5702588551208637E-3</v>
      </c>
      <c r="U37" s="241" t="str">
        <f t="shared" si="12"/>
        <v>סיום</v>
      </c>
      <c r="V37" s="242">
        <f t="shared" si="13"/>
        <v>6.5702588551208637E-3</v>
      </c>
      <c r="W37" s="240">
        <f t="shared" si="14"/>
        <v>1.2474536175643109</v>
      </c>
      <c r="X37" s="84">
        <f t="shared" si="15"/>
        <v>0</v>
      </c>
      <c r="Y37" s="84">
        <f>IF(X37="","",IF(OR(X37=1,IF(ISNA(MATCH("מוגן",$I37:X37,0)),FALSE,TRUE)),1,0))</f>
        <v>0</v>
      </c>
      <c r="Z37" s="241">
        <f t="shared" si="16"/>
        <v>6.5702588551208637E-3</v>
      </c>
      <c r="AA37" s="241" t="str">
        <f t="shared" si="17"/>
        <v>סיום</v>
      </c>
      <c r="AB37" s="242">
        <f t="shared" si="18"/>
        <v>6.5702588551208637E-3</v>
      </c>
      <c r="AC37" s="240">
        <f t="shared" si="19"/>
        <v>1.2474536175643109</v>
      </c>
      <c r="AD37" s="84">
        <f t="shared" si="20"/>
        <v>0</v>
      </c>
      <c r="AE37" s="84">
        <f>IF(AD37="","",IF(OR(AD37=1,IF(ISNA(MATCH("מוגן",$I37:AD37,0)),FALSE,TRUE)),1,0))</f>
        <v>0</v>
      </c>
      <c r="AF37" s="241">
        <f t="shared" si="21"/>
        <v>6.5702588551208637E-3</v>
      </c>
      <c r="AG37" s="241" t="str">
        <f t="shared" si="22"/>
        <v>סיום</v>
      </c>
      <c r="AH37" s="242">
        <f t="shared" si="23"/>
        <v>6.5702588551208637E-3</v>
      </c>
      <c r="AI37" s="240">
        <f t="shared" si="24"/>
        <v>1.2474536175643109</v>
      </c>
      <c r="AJ37" s="84">
        <f t="shared" si="25"/>
        <v>0</v>
      </c>
      <c r="AK37" s="84">
        <f>IF(AJ37="","",IF(OR(AJ37=1,IF(ISNA(MATCH("מוגן",$I37:AJ37,0)),FALSE,TRUE)),1,0))</f>
        <v>0</v>
      </c>
      <c r="AL37" s="241">
        <f t="shared" si="26"/>
        <v>6.5702588551208637E-3</v>
      </c>
      <c r="AM37" s="241" t="str">
        <f t="shared" si="27"/>
        <v>סיום</v>
      </c>
      <c r="AN37" s="242">
        <f t="shared" si="28"/>
        <v>6.5702588551208637E-3</v>
      </c>
      <c r="AO37" s="240">
        <f t="shared" si="29"/>
        <v>1.2474536175643109</v>
      </c>
      <c r="AP37" s="84">
        <f t="shared" si="30"/>
        <v>0</v>
      </c>
      <c r="AQ37" s="84">
        <f>IF(AP37="","",IF(OR(AP37=1,IF(ISNA(MATCH("מוגן",$I37:AP37,0)),FALSE,TRUE)),1,0))</f>
        <v>0</v>
      </c>
      <c r="AR37" s="241">
        <f t="shared" si="31"/>
        <v>6.5702588551208637E-3</v>
      </c>
      <c r="AS37" s="241" t="str">
        <f t="shared" si="32"/>
        <v>סיום</v>
      </c>
      <c r="AT37" s="242">
        <f t="shared" si="33"/>
        <v>6.5702588551208637E-3</v>
      </c>
      <c r="AU37" s="240">
        <f t="shared" si="34"/>
        <v>1.2474536175643109</v>
      </c>
      <c r="AV37" s="84">
        <f t="shared" si="35"/>
        <v>0</v>
      </c>
      <c r="AW37" s="84">
        <f>IF(AV37="","",IF(OR(AV37=1,IF(ISNA(MATCH("מוגן",$I37:AV37,0)),FALSE,TRUE)),1,0))</f>
        <v>0</v>
      </c>
      <c r="AX37" s="241">
        <f t="shared" si="36"/>
        <v>6.5702588551208637E-3</v>
      </c>
      <c r="AY37" s="241" t="str">
        <f t="shared" si="37"/>
        <v>סיום</v>
      </c>
      <c r="AZ37" s="242">
        <f t="shared" si="38"/>
        <v>6.5702588551208637E-3</v>
      </c>
      <c r="BA37" s="240">
        <f t="shared" si="39"/>
        <v>1.2474536175643109</v>
      </c>
      <c r="BB37" s="84">
        <f t="shared" si="40"/>
        <v>0</v>
      </c>
      <c r="BC37" s="84">
        <f>IF(BB37="","",IF(OR(BB37=1,IF(ISNA(MATCH("מוגן",$I37:BB37,0)),FALSE,TRUE)),1,0))</f>
        <v>0</v>
      </c>
      <c r="BD37" s="241">
        <f t="shared" si="41"/>
        <v>6.5702588551208637E-3</v>
      </c>
      <c r="BE37" s="241" t="str">
        <f t="shared" si="42"/>
        <v>סיום</v>
      </c>
      <c r="BF37" s="242">
        <f t="shared" si="43"/>
        <v>6.5702588551208637E-3</v>
      </c>
      <c r="BG37" s="240">
        <f t="shared" si="44"/>
        <v>1.2474536175643109</v>
      </c>
      <c r="BH37" s="84">
        <f t="shared" si="45"/>
        <v>0</v>
      </c>
      <c r="BI37" s="84">
        <f>IF(BH37="","",IF(OR(BH37=1,IF(ISNA(MATCH("מוגן",$I37:BH37,0)),FALSE,TRUE)),1,0))</f>
        <v>0</v>
      </c>
      <c r="BJ37" s="241">
        <f t="shared" si="46"/>
        <v>6.5702588551208637E-3</v>
      </c>
      <c r="BK37" s="241" t="str">
        <f t="shared" si="47"/>
        <v>סיום</v>
      </c>
      <c r="BL37" s="242">
        <f t="shared" si="48"/>
        <v>6.5702588551208637E-3</v>
      </c>
      <c r="BM37" s="240">
        <f t="shared" si="49"/>
        <v>1.2474536175643109</v>
      </c>
      <c r="BN37" s="84">
        <f t="shared" si="50"/>
        <v>0</v>
      </c>
      <c r="BO37" s="84">
        <f>IF(BN37="","",IF(OR(BN37=1,IF(ISNA(MATCH("מוגן",$I37:BN37,0)),FALSE,TRUE)),1,0))</f>
        <v>0</v>
      </c>
      <c r="BP37" s="241">
        <f t="shared" si="51"/>
        <v>6.5702588551208637E-3</v>
      </c>
      <c r="BQ37" s="241" t="str">
        <f t="shared" si="52"/>
        <v>סיום</v>
      </c>
      <c r="BR37" s="242">
        <f t="shared" si="53"/>
        <v>6.5702588551208637E-3</v>
      </c>
      <c r="BS37" s="240">
        <f t="shared" si="54"/>
        <v>1.2474536175643109</v>
      </c>
      <c r="BT37" s="84">
        <f t="shared" si="55"/>
        <v>0</v>
      </c>
      <c r="BU37" s="84">
        <f>IF(BT37="","",IF(OR(BT37=1,IF(ISNA(MATCH("מוגן",$I37:BT37,0)),FALSE,TRUE)),1,0))</f>
        <v>0</v>
      </c>
      <c r="BV37" s="241">
        <f t="shared" si="56"/>
        <v>6.5702588551208637E-3</v>
      </c>
      <c r="BW37" s="241" t="str">
        <f t="shared" si="57"/>
        <v>סיום</v>
      </c>
      <c r="BX37" s="242">
        <f t="shared" si="58"/>
        <v>6.5702588551208637E-3</v>
      </c>
      <c r="BY37" s="240">
        <f t="shared" si="59"/>
        <v>1.2474536175643109</v>
      </c>
      <c r="BZ37" s="84">
        <f t="shared" si="60"/>
        <v>0</v>
      </c>
      <c r="CA37" s="84">
        <f>IF(BZ37="","",IF(OR(BZ37=1,IF(ISNA(MATCH("מוגן",$I37:BZ37,0)),FALSE,TRUE)),1,0))</f>
        <v>0</v>
      </c>
      <c r="CB37" s="241">
        <f t="shared" si="61"/>
        <v>6.5702588551208637E-3</v>
      </c>
      <c r="CC37" s="241" t="str">
        <f t="shared" si="62"/>
        <v>סיום</v>
      </c>
      <c r="CD37" s="242">
        <f t="shared" si="63"/>
        <v>6.5702588551208637E-3</v>
      </c>
      <c r="CE37" s="240">
        <f t="shared" si="64"/>
        <v>1.2474536175643109</v>
      </c>
      <c r="CF37" s="84">
        <f t="shared" si="65"/>
        <v>0</v>
      </c>
      <c r="CG37" s="84">
        <f>IF(CF37="","",IF(OR(CF37=1,IF(ISNA(MATCH("מוגן",$I37:CF37,0)),FALSE,TRUE)),1,0))</f>
        <v>0</v>
      </c>
      <c r="CH37" s="241">
        <f t="shared" si="66"/>
        <v>6.5702588551208637E-3</v>
      </c>
      <c r="CI37" s="241" t="str">
        <f t="shared" si="67"/>
        <v>סיום</v>
      </c>
      <c r="CJ37" s="242">
        <f t="shared" si="68"/>
        <v>6.5702588551208637E-3</v>
      </c>
      <c r="CK37" s="240">
        <f t="shared" si="69"/>
        <v>1.2474536175643109</v>
      </c>
      <c r="CL37" s="84">
        <f t="shared" si="70"/>
        <v>0</v>
      </c>
      <c r="CM37" s="84">
        <f>IF(CL37="","",IF(OR(CL37=1,IF(ISNA(MATCH("מוגן",$I37:CL37,0)),FALSE,TRUE)),1,0))</f>
        <v>0</v>
      </c>
      <c r="CN37" s="241">
        <f t="shared" si="71"/>
        <v>6.5702588551208637E-3</v>
      </c>
      <c r="CO37" s="241" t="str">
        <f t="shared" si="72"/>
        <v>סיום</v>
      </c>
      <c r="CP37" s="242">
        <f t="shared" si="73"/>
        <v>6.5702588551208637E-3</v>
      </c>
      <c r="CQ37" s="240">
        <f t="shared" si="74"/>
        <v>1.2474536175643109</v>
      </c>
      <c r="CR37" s="84">
        <f t="shared" si="75"/>
        <v>0</v>
      </c>
      <c r="CS37" s="84">
        <f>IF(CR37="","",IF(OR(CR37=1,IF(ISNA(MATCH("מוגן",$I37:CR37,0)),FALSE,TRUE)),1,0))</f>
        <v>0</v>
      </c>
      <c r="CT37" s="241">
        <f t="shared" si="76"/>
        <v>6.5702588551208637E-3</v>
      </c>
      <c r="CU37" s="241" t="str">
        <f t="shared" si="77"/>
        <v>סיום</v>
      </c>
      <c r="CV37" s="242">
        <f t="shared" si="78"/>
        <v>6.5702588551208637E-3</v>
      </c>
      <c r="CW37" s="240">
        <f t="shared" si="79"/>
        <v>1.2474536175643109</v>
      </c>
      <c r="CX37" s="84">
        <f t="shared" si="80"/>
        <v>0</v>
      </c>
      <c r="CY37" s="84">
        <f>IF(CX37="","",IF(OR(CX37=1,IF(ISNA(MATCH("מוגן",$I37:CX37,0)),FALSE,TRUE)),1,0))</f>
        <v>0</v>
      </c>
      <c r="CZ37" s="241">
        <f t="shared" si="81"/>
        <v>6.5702588551208637E-3</v>
      </c>
      <c r="DA37" s="241" t="str">
        <f t="shared" si="82"/>
        <v>סיום</v>
      </c>
      <c r="DB37" s="242">
        <f t="shared" si="83"/>
        <v>6.5702588551208637E-3</v>
      </c>
      <c r="DC37" s="240">
        <f t="shared" si="84"/>
        <v>1.2474536175643109</v>
      </c>
      <c r="DD37" s="84">
        <f t="shared" si="85"/>
        <v>0</v>
      </c>
      <c r="DE37" s="84">
        <f>IF(DD37="","",IF(OR(DD37=1,IF(ISNA(MATCH("מוגן",$I37:DD37,0)),FALSE,TRUE)),1,0))</f>
        <v>0</v>
      </c>
      <c r="DF37" s="241">
        <f t="shared" si="86"/>
        <v>6.5702588551208637E-3</v>
      </c>
      <c r="DG37" s="241" t="str">
        <f t="shared" si="87"/>
        <v>סיום</v>
      </c>
      <c r="DH37" s="242">
        <f t="shared" si="88"/>
        <v>6.5702588551208637E-3</v>
      </c>
      <c r="DI37" s="240">
        <f t="shared" si="89"/>
        <v>1.2474536175643109</v>
      </c>
      <c r="DJ37" s="84">
        <f t="shared" si="90"/>
        <v>0</v>
      </c>
      <c r="DK37" s="84">
        <f>IF(DJ37="","",IF(OR(DJ37=1,IF(ISNA(MATCH("מוגן",$I37:DJ37,0)),FALSE,TRUE)),1,0))</f>
        <v>0</v>
      </c>
      <c r="DL37" s="241">
        <f t="shared" si="91"/>
        <v>6.5702588551208637E-3</v>
      </c>
      <c r="DM37" s="241" t="str">
        <f t="shared" si="92"/>
        <v>סיום</v>
      </c>
      <c r="DN37" s="242">
        <f t="shared" si="93"/>
        <v>6.5702588551208637E-3</v>
      </c>
      <c r="DO37" s="240">
        <f t="shared" si="94"/>
        <v>1.2474536175643109</v>
      </c>
      <c r="DP37" s="84">
        <f t="shared" si="95"/>
        <v>0</v>
      </c>
      <c r="DQ37" s="84">
        <f>IF(DP37="","",IF(OR(DP37=1,IF(ISNA(MATCH("מוגן",$I37:DP37,0)),FALSE,TRUE)),1,0))</f>
        <v>0</v>
      </c>
      <c r="DR37" s="241">
        <f t="shared" si="96"/>
        <v>6.5702588551208637E-3</v>
      </c>
      <c r="DS37" s="241" t="str">
        <f t="shared" si="97"/>
        <v>סיום</v>
      </c>
      <c r="DT37" s="242">
        <f t="shared" si="98"/>
        <v>6.5702588551208637E-3</v>
      </c>
      <c r="DU37" s="240">
        <f t="shared" si="99"/>
        <v>1.2474536175643109</v>
      </c>
      <c r="DV37" s="84">
        <f t="shared" si="100"/>
        <v>0</v>
      </c>
      <c r="DW37" s="84">
        <f>IF(DV37="","",IF(OR(DV37=1,IF(ISNA(MATCH("מוגן",$I37:DV37,0)),FALSE,TRUE)),1,0))</f>
        <v>0</v>
      </c>
      <c r="DX37" s="241">
        <f t="shared" si="101"/>
        <v>6.5702588551208637E-3</v>
      </c>
      <c r="DY37" s="241" t="str">
        <f t="shared" si="102"/>
        <v>סיום</v>
      </c>
      <c r="DZ37" s="242">
        <f t="shared" si="103"/>
        <v>6.5702588551208637E-3</v>
      </c>
      <c r="EA37" s="240">
        <f t="shared" si="104"/>
        <v>1.2474536175643109</v>
      </c>
      <c r="EB37" s="84">
        <f t="shared" si="105"/>
        <v>0</v>
      </c>
      <c r="EC37" s="84">
        <f>IF(EB37="","",IF(OR(EB37=1,IF(ISNA(MATCH("מוגן",$I37:EB37,0)),FALSE,TRUE)),1,0))</f>
        <v>0</v>
      </c>
      <c r="ED37" s="241">
        <f t="shared" si="106"/>
        <v>6.5702588551208637E-3</v>
      </c>
      <c r="EE37" s="241" t="str">
        <f t="shared" si="107"/>
        <v>סיום</v>
      </c>
      <c r="EF37" s="242">
        <f t="shared" si="108"/>
        <v>6.5702588551208637E-3</v>
      </c>
      <c r="EG37" s="240">
        <f t="shared" si="109"/>
        <v>1.2474536175643109</v>
      </c>
      <c r="EH37" s="84">
        <f t="shared" si="110"/>
        <v>0</v>
      </c>
      <c r="EI37" s="84">
        <f>IF(EH37="","",IF(OR(EH37=1,IF(ISNA(MATCH("מוגן",$I37:EH37,0)),FALSE,TRUE)),1,0))</f>
        <v>0</v>
      </c>
      <c r="EJ37" s="241">
        <f t="shared" si="111"/>
        <v>6.5702588551208637E-3</v>
      </c>
      <c r="EK37" s="241" t="str">
        <f t="shared" si="112"/>
        <v>סיום</v>
      </c>
      <c r="EL37" s="242">
        <f t="shared" si="113"/>
        <v>6.5702588551208637E-3</v>
      </c>
      <c r="EM37" s="240">
        <f t="shared" si="114"/>
        <v>1.2474536175643109</v>
      </c>
      <c r="EN37" s="84">
        <f t="shared" si="115"/>
        <v>0</v>
      </c>
      <c r="EO37" s="84">
        <f>IF(EN37="","",IF(OR(EN37=1,IF(ISNA(MATCH("מוגן",$I37:EN37,0)),FALSE,TRUE)),1,0))</f>
        <v>0</v>
      </c>
      <c r="EP37" s="241">
        <f t="shared" si="116"/>
        <v>6.5702588551208637E-3</v>
      </c>
      <c r="EQ37" s="241" t="str">
        <f t="shared" si="117"/>
        <v>סיום</v>
      </c>
      <c r="ER37" s="242">
        <f t="shared" si="118"/>
        <v>6.5702588551208637E-3</v>
      </c>
      <c r="ES37" s="240">
        <f t="shared" si="119"/>
        <v>1.2474536175643109</v>
      </c>
      <c r="ET37" s="84">
        <f t="shared" si="120"/>
        <v>0</v>
      </c>
      <c r="EU37" s="84">
        <f>IF(ET37="","",IF(OR(ET37=1,IF(ISNA(MATCH("מוגן",$I37:ET37,0)),FALSE,TRUE)),1,0))</f>
        <v>0</v>
      </c>
      <c r="EV37" s="241">
        <f t="shared" si="121"/>
        <v>6.5702588551208637E-3</v>
      </c>
      <c r="EW37" s="241" t="str">
        <f t="shared" si="122"/>
        <v>סיום</v>
      </c>
      <c r="EX37" s="242">
        <f t="shared" si="123"/>
        <v>6.5702588551208637E-3</v>
      </c>
      <c r="EY37" s="240">
        <f t="shared" si="124"/>
        <v>1.2474536175643109</v>
      </c>
      <c r="EZ37" s="84">
        <f t="shared" si="125"/>
        <v>0</v>
      </c>
      <c r="FA37" s="84">
        <f>IF(EZ37="","",IF(OR(EZ37=1,IF(ISNA(MATCH("מוגן",$I37:EZ37,0)),FALSE,TRUE)),1,0))</f>
        <v>0</v>
      </c>
      <c r="FB37" s="241">
        <f t="shared" si="126"/>
        <v>6.5702588551208637E-3</v>
      </c>
      <c r="FC37" s="241" t="str">
        <f t="shared" si="127"/>
        <v>סיום</v>
      </c>
      <c r="FD37" s="242">
        <f t="shared" si="128"/>
        <v>6.5702588551208637E-3</v>
      </c>
      <c r="FE37" s="240">
        <f t="shared" si="129"/>
        <v>1.2474536175643109</v>
      </c>
      <c r="FF37" s="84">
        <f t="shared" si="130"/>
        <v>0</v>
      </c>
      <c r="FG37" s="84">
        <f>IF(FF37="","",IF(OR(FF37=1,IF(ISNA(MATCH("מוגן",$I37:FF37,0)),FALSE,TRUE)),1,0))</f>
        <v>0</v>
      </c>
      <c r="FH37" s="241">
        <f t="shared" si="131"/>
        <v>6.5702588551208637E-3</v>
      </c>
      <c r="FI37" s="241" t="str">
        <f t="shared" si="132"/>
        <v>סיום</v>
      </c>
      <c r="FJ37" s="242">
        <f t="shared" si="133"/>
        <v>6.5702588551208637E-3</v>
      </c>
      <c r="FK37" s="240">
        <f t="shared" si="134"/>
        <v>1.2474536175643109</v>
      </c>
      <c r="FL37" s="84">
        <f t="shared" si="135"/>
        <v>0</v>
      </c>
      <c r="FM37" s="84">
        <f>IF(FL37="","",IF(OR(FL37=1,IF(ISNA(MATCH("מוגן",$I37:FL37,0)),FALSE,TRUE)),1,0))</f>
        <v>0</v>
      </c>
      <c r="FN37" s="241">
        <f t="shared" si="136"/>
        <v>6.5702588551208637E-3</v>
      </c>
      <c r="FO37" s="241" t="str">
        <f t="shared" si="137"/>
        <v>סיום</v>
      </c>
      <c r="FP37" s="242">
        <f t="shared" si="138"/>
        <v>6.5702588551208637E-3</v>
      </c>
      <c r="FQ37" s="240">
        <f t="shared" si="139"/>
        <v>1.2474536175643109</v>
      </c>
      <c r="FR37" s="84">
        <f t="shared" si="140"/>
        <v>0</v>
      </c>
      <c r="FS37" s="84">
        <f>IF(FR37="","",IF(OR(FR37=1,IF(ISNA(MATCH("מוגן",$I37:FR37,0)),FALSE,TRUE)),1,0))</f>
        <v>0</v>
      </c>
      <c r="FT37" s="241">
        <f t="shared" si="141"/>
        <v>6.5702588551208637E-3</v>
      </c>
      <c r="FU37" s="241" t="str">
        <f t="shared" si="142"/>
        <v>סיום</v>
      </c>
      <c r="FV37" s="242">
        <f t="shared" si="143"/>
        <v>6.5702588551208637E-3</v>
      </c>
      <c r="FW37" s="240">
        <f t="shared" si="144"/>
        <v>1.2474536175643109</v>
      </c>
      <c r="FX37" s="84">
        <f t="shared" si="145"/>
        <v>0</v>
      </c>
      <c r="FY37" s="84">
        <f>IF(FX37="","",IF(OR(FX37=1,IF(ISNA(MATCH("מוגן",$I37:FX37,0)),FALSE,TRUE)),1,0))</f>
        <v>0</v>
      </c>
      <c r="FZ37" s="241">
        <f t="shared" si="146"/>
        <v>6.5702588551208637E-3</v>
      </c>
      <c r="GA37" s="241" t="str">
        <f t="shared" si="147"/>
        <v>סיום</v>
      </c>
      <c r="GB37" s="242">
        <f t="shared" si="148"/>
        <v>6.5702588551208637E-3</v>
      </c>
      <c r="GC37" s="240">
        <f t="shared" si="149"/>
        <v>1.2474536175643109</v>
      </c>
      <c r="GD37" s="84">
        <f t="shared" si="150"/>
        <v>0</v>
      </c>
      <c r="GE37" s="84">
        <f>IF(GD37="","",IF(OR(GD37=1,IF(ISNA(MATCH("מוגן",$I37:GD37,0)),FALSE,TRUE)),1,0))</f>
        <v>0</v>
      </c>
      <c r="GF37" s="241">
        <f t="shared" si="151"/>
        <v>6.5702588551208637E-3</v>
      </c>
      <c r="GG37" s="241" t="str">
        <f t="shared" si="152"/>
        <v>סיום</v>
      </c>
      <c r="GH37" s="242">
        <f t="shared" si="153"/>
        <v>6.5702588551208637E-3</v>
      </c>
      <c r="GI37" s="240">
        <f t="shared" si="154"/>
        <v>1.2474536175643109</v>
      </c>
      <c r="GJ37" s="84">
        <f t="shared" si="155"/>
        <v>0</v>
      </c>
      <c r="GK37" s="84">
        <f>IF(GJ37="","",IF(OR(GJ37=1,IF(ISNA(MATCH("מוגן",$I37:GJ37,0)),FALSE,TRUE)),1,0))</f>
        <v>0</v>
      </c>
      <c r="GL37" s="241">
        <f t="shared" si="156"/>
        <v>6.5702588551208637E-3</v>
      </c>
      <c r="GM37" s="241" t="str">
        <f t="shared" si="157"/>
        <v>סיום</v>
      </c>
      <c r="GN37" s="242">
        <f t="shared" si="158"/>
        <v>6.5702588551208637E-3</v>
      </c>
      <c r="GO37" s="240">
        <f t="shared" si="159"/>
        <v>1.2474536175643109</v>
      </c>
      <c r="GP37" s="84">
        <f t="shared" si="160"/>
        <v>0</v>
      </c>
      <c r="GQ37" s="84">
        <f>IF(GP37="","",IF(OR(GP37=1,IF(ISNA(MATCH("מוגן",$I37:GP37,0)),FALSE,TRUE)),1,0))</f>
        <v>0</v>
      </c>
      <c r="GR37" s="241">
        <f t="shared" si="161"/>
        <v>6.5702588551208637E-3</v>
      </c>
      <c r="GS37" s="241" t="str">
        <f t="shared" si="162"/>
        <v>סיום</v>
      </c>
      <c r="GT37" s="242">
        <f t="shared" si="163"/>
        <v>6.5702588551208637E-3</v>
      </c>
      <c r="GU37" s="240">
        <f t="shared" si="164"/>
        <v>1.2474536175643109</v>
      </c>
      <c r="GV37" s="84">
        <f t="shared" si="165"/>
        <v>0</v>
      </c>
      <c r="GW37" s="84">
        <f>IF(GV37="","",IF(OR(GV37=1,IF(ISNA(MATCH("מוגן",$I37:GV37,0)),FALSE,TRUE)),1,0))</f>
        <v>0</v>
      </c>
      <c r="GX37" s="241">
        <f t="shared" si="166"/>
        <v>6.5702588551208637E-3</v>
      </c>
      <c r="GY37" s="241" t="str">
        <f t="shared" si="167"/>
        <v>סיום</v>
      </c>
      <c r="GZ37" s="242">
        <f t="shared" si="168"/>
        <v>6.5702588551208637E-3</v>
      </c>
      <c r="HA37" s="119">
        <f t="shared" si="169"/>
        <v>649286.21913463681</v>
      </c>
      <c r="HB37" s="246" t="str">
        <f t="shared" si="170"/>
        <v>OK</v>
      </c>
      <c r="HC37" s="244">
        <f t="shared" si="171"/>
        <v>1.2474536175643109</v>
      </c>
      <c r="HD37" s="245">
        <f t="shared" si="172"/>
        <v>6.5702588551208637E-3</v>
      </c>
      <c r="HE37" s="111">
        <f t="shared" si="173"/>
        <v>0</v>
      </c>
      <c r="HF37" s="111">
        <f t="shared" si="174"/>
        <v>1</v>
      </c>
      <c r="HG37" s="111" t="b">
        <f>OR(B37="",ISNA(MATCH(C37,{0,1},0)))</f>
        <v>0</v>
      </c>
    </row>
    <row r="38" spans="1:215">
      <c r="A38" s="120">
        <f>ייצוב!A34</f>
        <v>30</v>
      </c>
      <c r="B38" s="121" t="str">
        <f>ייצוב!B34</f>
        <v>גליון ריק 2</v>
      </c>
      <c r="C38" s="67"/>
      <c r="D38" s="240" t="str">
        <f>ייצוב!E34</f>
        <v>---</v>
      </c>
      <c r="E38" s="240">
        <f>ייצוב!G34</f>
        <v>0</v>
      </c>
      <c r="F38" s="240" t="str">
        <f t="shared" si="0"/>
        <v/>
      </c>
      <c r="G38" s="84" t="str">
        <f t="shared" si="1"/>
        <v/>
      </c>
      <c r="H38" s="241" t="str">
        <f t="shared" si="2"/>
        <v/>
      </c>
      <c r="I38" s="241" t="str">
        <f t="array" ref="I38">IF(H38="","",IF(G38=1,"מוגן",H38/SUMIF(G$9:G$41,"=0",H$9:H$41)))</f>
        <v/>
      </c>
      <c r="J38" s="242" t="str">
        <f t="shared" si="3"/>
        <v/>
      </c>
      <c r="K38" s="240" t="str">
        <f t="shared" si="4"/>
        <v/>
      </c>
      <c r="L38" s="84" t="str">
        <f t="shared" si="5"/>
        <v/>
      </c>
      <c r="M38" s="84" t="str">
        <f>IF(L38="","",IF(OR(L38=1,IF(ISNA(MATCH("מוגן",$I38:L38,0)),FALSE,TRUE)),1,0))</f>
        <v/>
      </c>
      <c r="N38" s="241" t="str">
        <f t="shared" si="6"/>
        <v/>
      </c>
      <c r="O38" s="241" t="str">
        <f t="shared" si="7"/>
        <v/>
      </c>
      <c r="P38" s="242" t="str">
        <f t="shared" si="8"/>
        <v/>
      </c>
      <c r="Q38" s="240" t="str">
        <f t="shared" si="9"/>
        <v/>
      </c>
      <c r="R38" s="84" t="str">
        <f t="shared" si="10"/>
        <v/>
      </c>
      <c r="S38" s="84" t="str">
        <f>IF(R38="","",IF(OR(R38=1,IF(ISNA(MATCH("מוגן",$I38:R38,0)),FALSE,TRUE)),1,0))</f>
        <v/>
      </c>
      <c r="T38" s="241" t="str">
        <f t="shared" si="11"/>
        <v/>
      </c>
      <c r="U38" s="241" t="str">
        <f t="shared" si="12"/>
        <v/>
      </c>
      <c r="V38" s="242" t="str">
        <f t="shared" si="13"/>
        <v/>
      </c>
      <c r="W38" s="240" t="str">
        <f t="shared" si="14"/>
        <v/>
      </c>
      <c r="X38" s="84" t="str">
        <f t="shared" si="15"/>
        <v/>
      </c>
      <c r="Y38" s="84" t="str">
        <f>IF(X38="","",IF(OR(X38=1,IF(ISNA(MATCH("מוגן",$I38:X38,0)),FALSE,TRUE)),1,0))</f>
        <v/>
      </c>
      <c r="Z38" s="241" t="str">
        <f t="shared" si="16"/>
        <v/>
      </c>
      <c r="AA38" s="241" t="str">
        <f t="shared" si="17"/>
        <v/>
      </c>
      <c r="AB38" s="242" t="str">
        <f t="shared" si="18"/>
        <v/>
      </c>
      <c r="AC38" s="240" t="str">
        <f t="shared" si="19"/>
        <v/>
      </c>
      <c r="AD38" s="84" t="str">
        <f t="shared" si="20"/>
        <v/>
      </c>
      <c r="AE38" s="84" t="str">
        <f>IF(AD38="","",IF(OR(AD38=1,IF(ISNA(MATCH("מוגן",$I38:AD38,0)),FALSE,TRUE)),1,0))</f>
        <v/>
      </c>
      <c r="AF38" s="241" t="str">
        <f t="shared" si="21"/>
        <v/>
      </c>
      <c r="AG38" s="241" t="str">
        <f t="shared" si="22"/>
        <v/>
      </c>
      <c r="AH38" s="242" t="str">
        <f t="shared" si="23"/>
        <v/>
      </c>
      <c r="AI38" s="240" t="str">
        <f t="shared" si="24"/>
        <v/>
      </c>
      <c r="AJ38" s="84" t="str">
        <f t="shared" si="25"/>
        <v/>
      </c>
      <c r="AK38" s="84" t="str">
        <f>IF(AJ38="","",IF(OR(AJ38=1,IF(ISNA(MATCH("מוגן",$I38:AJ38,0)),FALSE,TRUE)),1,0))</f>
        <v/>
      </c>
      <c r="AL38" s="241" t="str">
        <f t="shared" si="26"/>
        <v/>
      </c>
      <c r="AM38" s="241" t="str">
        <f t="shared" si="27"/>
        <v/>
      </c>
      <c r="AN38" s="242" t="str">
        <f t="shared" si="28"/>
        <v/>
      </c>
      <c r="AO38" s="240" t="str">
        <f t="shared" si="29"/>
        <v/>
      </c>
      <c r="AP38" s="84" t="str">
        <f t="shared" si="30"/>
        <v/>
      </c>
      <c r="AQ38" s="84" t="str">
        <f>IF(AP38="","",IF(OR(AP38=1,IF(ISNA(MATCH("מוגן",$I38:AP38,0)),FALSE,TRUE)),1,0))</f>
        <v/>
      </c>
      <c r="AR38" s="241" t="str">
        <f t="shared" si="31"/>
        <v/>
      </c>
      <c r="AS38" s="241" t="str">
        <f t="shared" si="32"/>
        <v/>
      </c>
      <c r="AT38" s="242" t="str">
        <f t="shared" si="33"/>
        <v/>
      </c>
      <c r="AU38" s="240" t="str">
        <f t="shared" si="34"/>
        <v/>
      </c>
      <c r="AV38" s="84" t="str">
        <f t="shared" si="35"/>
        <v/>
      </c>
      <c r="AW38" s="84" t="str">
        <f>IF(AV38="","",IF(OR(AV38=1,IF(ISNA(MATCH("מוגן",$I38:AV38,0)),FALSE,TRUE)),1,0))</f>
        <v/>
      </c>
      <c r="AX38" s="241" t="str">
        <f t="shared" si="36"/>
        <v/>
      </c>
      <c r="AY38" s="241" t="str">
        <f t="shared" si="37"/>
        <v/>
      </c>
      <c r="AZ38" s="242" t="str">
        <f t="shared" si="38"/>
        <v/>
      </c>
      <c r="BA38" s="240" t="str">
        <f t="shared" si="39"/>
        <v/>
      </c>
      <c r="BB38" s="84" t="str">
        <f t="shared" si="40"/>
        <v/>
      </c>
      <c r="BC38" s="84" t="str">
        <f>IF(BB38="","",IF(OR(BB38=1,IF(ISNA(MATCH("מוגן",$I38:BB38,0)),FALSE,TRUE)),1,0))</f>
        <v/>
      </c>
      <c r="BD38" s="241" t="str">
        <f t="shared" si="41"/>
        <v/>
      </c>
      <c r="BE38" s="241" t="str">
        <f t="shared" si="42"/>
        <v/>
      </c>
      <c r="BF38" s="242" t="str">
        <f t="shared" si="43"/>
        <v/>
      </c>
      <c r="BG38" s="240" t="str">
        <f t="shared" si="44"/>
        <v/>
      </c>
      <c r="BH38" s="84" t="str">
        <f t="shared" si="45"/>
        <v/>
      </c>
      <c r="BI38" s="84" t="str">
        <f>IF(BH38="","",IF(OR(BH38=1,IF(ISNA(MATCH("מוגן",$I38:BH38,0)),FALSE,TRUE)),1,0))</f>
        <v/>
      </c>
      <c r="BJ38" s="241" t="str">
        <f t="shared" si="46"/>
        <v/>
      </c>
      <c r="BK38" s="241" t="str">
        <f t="shared" si="47"/>
        <v/>
      </c>
      <c r="BL38" s="242" t="str">
        <f t="shared" si="48"/>
        <v/>
      </c>
      <c r="BM38" s="240" t="str">
        <f t="shared" si="49"/>
        <v/>
      </c>
      <c r="BN38" s="84" t="str">
        <f t="shared" si="50"/>
        <v/>
      </c>
      <c r="BO38" s="84" t="str">
        <f>IF(BN38="","",IF(OR(BN38=1,IF(ISNA(MATCH("מוגן",$I38:BN38,0)),FALSE,TRUE)),1,0))</f>
        <v/>
      </c>
      <c r="BP38" s="241" t="str">
        <f t="shared" si="51"/>
        <v/>
      </c>
      <c r="BQ38" s="241" t="str">
        <f t="shared" si="52"/>
        <v/>
      </c>
      <c r="BR38" s="242" t="str">
        <f t="shared" si="53"/>
        <v/>
      </c>
      <c r="BS38" s="240" t="str">
        <f t="shared" si="54"/>
        <v/>
      </c>
      <c r="BT38" s="84" t="str">
        <f t="shared" si="55"/>
        <v/>
      </c>
      <c r="BU38" s="84" t="str">
        <f>IF(BT38="","",IF(OR(BT38=1,IF(ISNA(MATCH("מוגן",$I38:BT38,0)),FALSE,TRUE)),1,0))</f>
        <v/>
      </c>
      <c r="BV38" s="241" t="str">
        <f t="shared" si="56"/>
        <v/>
      </c>
      <c r="BW38" s="241" t="str">
        <f t="shared" si="57"/>
        <v/>
      </c>
      <c r="BX38" s="242" t="str">
        <f t="shared" si="58"/>
        <v/>
      </c>
      <c r="BY38" s="240" t="str">
        <f t="shared" si="59"/>
        <v/>
      </c>
      <c r="BZ38" s="84" t="str">
        <f t="shared" si="60"/>
        <v/>
      </c>
      <c r="CA38" s="84" t="str">
        <f>IF(BZ38="","",IF(OR(BZ38=1,IF(ISNA(MATCH("מוגן",$I38:BZ38,0)),FALSE,TRUE)),1,0))</f>
        <v/>
      </c>
      <c r="CB38" s="241" t="str">
        <f t="shared" si="61"/>
        <v/>
      </c>
      <c r="CC38" s="241" t="str">
        <f t="shared" si="62"/>
        <v/>
      </c>
      <c r="CD38" s="242" t="str">
        <f t="shared" si="63"/>
        <v/>
      </c>
      <c r="CE38" s="240" t="str">
        <f t="shared" si="64"/>
        <v/>
      </c>
      <c r="CF38" s="84" t="str">
        <f t="shared" si="65"/>
        <v/>
      </c>
      <c r="CG38" s="84" t="str">
        <f>IF(CF38="","",IF(OR(CF38=1,IF(ISNA(MATCH("מוגן",$I38:CF38,0)),FALSE,TRUE)),1,0))</f>
        <v/>
      </c>
      <c r="CH38" s="241" t="str">
        <f t="shared" si="66"/>
        <v/>
      </c>
      <c r="CI38" s="241" t="str">
        <f t="shared" si="67"/>
        <v/>
      </c>
      <c r="CJ38" s="242" t="str">
        <f t="shared" si="68"/>
        <v/>
      </c>
      <c r="CK38" s="240" t="str">
        <f t="shared" si="69"/>
        <v/>
      </c>
      <c r="CL38" s="84" t="str">
        <f t="shared" si="70"/>
        <v/>
      </c>
      <c r="CM38" s="84" t="str">
        <f>IF(CL38="","",IF(OR(CL38=1,IF(ISNA(MATCH("מוגן",$I38:CL38,0)),FALSE,TRUE)),1,0))</f>
        <v/>
      </c>
      <c r="CN38" s="241" t="str">
        <f t="shared" si="71"/>
        <v/>
      </c>
      <c r="CO38" s="241" t="str">
        <f t="shared" si="72"/>
        <v/>
      </c>
      <c r="CP38" s="242" t="str">
        <f t="shared" si="73"/>
        <v/>
      </c>
      <c r="CQ38" s="240" t="str">
        <f t="shared" si="74"/>
        <v/>
      </c>
      <c r="CR38" s="84" t="str">
        <f t="shared" si="75"/>
        <v/>
      </c>
      <c r="CS38" s="84" t="str">
        <f>IF(CR38="","",IF(OR(CR38=1,IF(ISNA(MATCH("מוגן",$I38:CR38,0)),FALSE,TRUE)),1,0))</f>
        <v/>
      </c>
      <c r="CT38" s="241" t="str">
        <f t="shared" si="76"/>
        <v/>
      </c>
      <c r="CU38" s="241" t="str">
        <f t="shared" si="77"/>
        <v/>
      </c>
      <c r="CV38" s="242" t="str">
        <f t="shared" si="78"/>
        <v/>
      </c>
      <c r="CW38" s="240" t="str">
        <f t="shared" si="79"/>
        <v/>
      </c>
      <c r="CX38" s="84" t="str">
        <f t="shared" si="80"/>
        <v/>
      </c>
      <c r="CY38" s="84" t="str">
        <f>IF(CX38="","",IF(OR(CX38=1,IF(ISNA(MATCH("מוגן",$I38:CX38,0)),FALSE,TRUE)),1,0))</f>
        <v/>
      </c>
      <c r="CZ38" s="241" t="str">
        <f t="shared" si="81"/>
        <v/>
      </c>
      <c r="DA38" s="241" t="str">
        <f t="shared" si="82"/>
        <v/>
      </c>
      <c r="DB38" s="242" t="str">
        <f t="shared" si="83"/>
        <v/>
      </c>
      <c r="DC38" s="240" t="str">
        <f t="shared" si="84"/>
        <v/>
      </c>
      <c r="DD38" s="84" t="str">
        <f t="shared" si="85"/>
        <v/>
      </c>
      <c r="DE38" s="84" t="str">
        <f>IF(DD38="","",IF(OR(DD38=1,IF(ISNA(MATCH("מוגן",$I38:DD38,0)),FALSE,TRUE)),1,0))</f>
        <v/>
      </c>
      <c r="DF38" s="241" t="str">
        <f t="shared" si="86"/>
        <v/>
      </c>
      <c r="DG38" s="241" t="str">
        <f t="shared" si="87"/>
        <v/>
      </c>
      <c r="DH38" s="242" t="str">
        <f t="shared" si="88"/>
        <v/>
      </c>
      <c r="DI38" s="240" t="str">
        <f t="shared" si="89"/>
        <v/>
      </c>
      <c r="DJ38" s="84" t="str">
        <f t="shared" si="90"/>
        <v/>
      </c>
      <c r="DK38" s="84" t="str">
        <f>IF(DJ38="","",IF(OR(DJ38=1,IF(ISNA(MATCH("מוגן",$I38:DJ38,0)),FALSE,TRUE)),1,0))</f>
        <v/>
      </c>
      <c r="DL38" s="241" t="str">
        <f t="shared" si="91"/>
        <v/>
      </c>
      <c r="DM38" s="241" t="str">
        <f t="shared" si="92"/>
        <v/>
      </c>
      <c r="DN38" s="242" t="str">
        <f t="shared" si="93"/>
        <v/>
      </c>
      <c r="DO38" s="240" t="str">
        <f t="shared" si="94"/>
        <v/>
      </c>
      <c r="DP38" s="84" t="str">
        <f t="shared" si="95"/>
        <v/>
      </c>
      <c r="DQ38" s="84" t="str">
        <f>IF(DP38="","",IF(OR(DP38=1,IF(ISNA(MATCH("מוגן",$I38:DP38,0)),FALSE,TRUE)),1,0))</f>
        <v/>
      </c>
      <c r="DR38" s="241" t="str">
        <f t="shared" si="96"/>
        <v/>
      </c>
      <c r="DS38" s="241" t="str">
        <f t="shared" si="97"/>
        <v/>
      </c>
      <c r="DT38" s="242" t="str">
        <f t="shared" si="98"/>
        <v/>
      </c>
      <c r="DU38" s="240" t="str">
        <f t="shared" si="99"/>
        <v/>
      </c>
      <c r="DV38" s="84" t="str">
        <f t="shared" si="100"/>
        <v/>
      </c>
      <c r="DW38" s="84" t="str">
        <f>IF(DV38="","",IF(OR(DV38=1,IF(ISNA(MATCH("מוגן",$I38:DV38,0)),FALSE,TRUE)),1,0))</f>
        <v/>
      </c>
      <c r="DX38" s="241" t="str">
        <f t="shared" si="101"/>
        <v/>
      </c>
      <c r="DY38" s="241" t="str">
        <f t="shared" si="102"/>
        <v/>
      </c>
      <c r="DZ38" s="242" t="str">
        <f t="shared" si="103"/>
        <v/>
      </c>
      <c r="EA38" s="240" t="str">
        <f t="shared" si="104"/>
        <v/>
      </c>
      <c r="EB38" s="84" t="str">
        <f t="shared" si="105"/>
        <v/>
      </c>
      <c r="EC38" s="84" t="str">
        <f>IF(EB38="","",IF(OR(EB38=1,IF(ISNA(MATCH("מוגן",$I38:EB38,0)),FALSE,TRUE)),1,0))</f>
        <v/>
      </c>
      <c r="ED38" s="241" t="str">
        <f t="shared" si="106"/>
        <v/>
      </c>
      <c r="EE38" s="241" t="str">
        <f t="shared" si="107"/>
        <v/>
      </c>
      <c r="EF38" s="242" t="str">
        <f t="shared" si="108"/>
        <v/>
      </c>
      <c r="EG38" s="240" t="str">
        <f t="shared" si="109"/>
        <v/>
      </c>
      <c r="EH38" s="84" t="str">
        <f t="shared" si="110"/>
        <v/>
      </c>
      <c r="EI38" s="84" t="str">
        <f>IF(EH38="","",IF(OR(EH38=1,IF(ISNA(MATCH("מוגן",$I38:EH38,0)),FALSE,TRUE)),1,0))</f>
        <v/>
      </c>
      <c r="EJ38" s="241" t="str">
        <f t="shared" si="111"/>
        <v/>
      </c>
      <c r="EK38" s="241" t="str">
        <f t="shared" si="112"/>
        <v/>
      </c>
      <c r="EL38" s="242" t="str">
        <f t="shared" si="113"/>
        <v/>
      </c>
      <c r="EM38" s="240" t="str">
        <f t="shared" si="114"/>
        <v/>
      </c>
      <c r="EN38" s="84" t="str">
        <f t="shared" si="115"/>
        <v/>
      </c>
      <c r="EO38" s="84" t="str">
        <f>IF(EN38="","",IF(OR(EN38=1,IF(ISNA(MATCH("מוגן",$I38:EN38,0)),FALSE,TRUE)),1,0))</f>
        <v/>
      </c>
      <c r="EP38" s="241" t="str">
        <f t="shared" si="116"/>
        <v/>
      </c>
      <c r="EQ38" s="241" t="str">
        <f t="shared" si="117"/>
        <v/>
      </c>
      <c r="ER38" s="242" t="str">
        <f t="shared" si="118"/>
        <v/>
      </c>
      <c r="ES38" s="240" t="str">
        <f t="shared" si="119"/>
        <v/>
      </c>
      <c r="ET38" s="84" t="str">
        <f t="shared" si="120"/>
        <v/>
      </c>
      <c r="EU38" s="84" t="str">
        <f>IF(ET38="","",IF(OR(ET38=1,IF(ISNA(MATCH("מוגן",$I38:ET38,0)),FALSE,TRUE)),1,0))</f>
        <v/>
      </c>
      <c r="EV38" s="241" t="str">
        <f t="shared" si="121"/>
        <v/>
      </c>
      <c r="EW38" s="241" t="str">
        <f t="shared" si="122"/>
        <v/>
      </c>
      <c r="EX38" s="242" t="str">
        <f t="shared" si="123"/>
        <v/>
      </c>
      <c r="EY38" s="240" t="str">
        <f t="shared" si="124"/>
        <v/>
      </c>
      <c r="EZ38" s="84" t="str">
        <f t="shared" si="125"/>
        <v/>
      </c>
      <c r="FA38" s="84" t="str">
        <f>IF(EZ38="","",IF(OR(EZ38=1,IF(ISNA(MATCH("מוגן",$I38:EZ38,0)),FALSE,TRUE)),1,0))</f>
        <v/>
      </c>
      <c r="FB38" s="241" t="str">
        <f t="shared" si="126"/>
        <v/>
      </c>
      <c r="FC38" s="241" t="str">
        <f t="shared" si="127"/>
        <v/>
      </c>
      <c r="FD38" s="242" t="str">
        <f t="shared" si="128"/>
        <v/>
      </c>
      <c r="FE38" s="240" t="str">
        <f t="shared" si="129"/>
        <v/>
      </c>
      <c r="FF38" s="84" t="str">
        <f t="shared" si="130"/>
        <v/>
      </c>
      <c r="FG38" s="84" t="str">
        <f>IF(FF38="","",IF(OR(FF38=1,IF(ISNA(MATCH("מוגן",$I38:FF38,0)),FALSE,TRUE)),1,0))</f>
        <v/>
      </c>
      <c r="FH38" s="241" t="str">
        <f t="shared" si="131"/>
        <v/>
      </c>
      <c r="FI38" s="241" t="str">
        <f t="shared" si="132"/>
        <v/>
      </c>
      <c r="FJ38" s="242" t="str">
        <f t="shared" si="133"/>
        <v/>
      </c>
      <c r="FK38" s="240" t="str">
        <f t="shared" si="134"/>
        <v/>
      </c>
      <c r="FL38" s="84" t="str">
        <f t="shared" si="135"/>
        <v/>
      </c>
      <c r="FM38" s="84" t="str">
        <f>IF(FL38="","",IF(OR(FL38=1,IF(ISNA(MATCH("מוגן",$I38:FL38,0)),FALSE,TRUE)),1,0))</f>
        <v/>
      </c>
      <c r="FN38" s="241" t="str">
        <f t="shared" si="136"/>
        <v/>
      </c>
      <c r="FO38" s="241" t="str">
        <f t="shared" si="137"/>
        <v/>
      </c>
      <c r="FP38" s="242" t="str">
        <f t="shared" si="138"/>
        <v/>
      </c>
      <c r="FQ38" s="240" t="str">
        <f t="shared" si="139"/>
        <v/>
      </c>
      <c r="FR38" s="84" t="str">
        <f t="shared" si="140"/>
        <v/>
      </c>
      <c r="FS38" s="84" t="str">
        <f>IF(FR38="","",IF(OR(FR38=1,IF(ISNA(MATCH("מוגן",$I38:FR38,0)),FALSE,TRUE)),1,0))</f>
        <v/>
      </c>
      <c r="FT38" s="241" t="str">
        <f t="shared" si="141"/>
        <v/>
      </c>
      <c r="FU38" s="241" t="str">
        <f t="shared" si="142"/>
        <v/>
      </c>
      <c r="FV38" s="242" t="str">
        <f t="shared" si="143"/>
        <v/>
      </c>
      <c r="FW38" s="240" t="str">
        <f t="shared" si="144"/>
        <v/>
      </c>
      <c r="FX38" s="84" t="str">
        <f t="shared" si="145"/>
        <v/>
      </c>
      <c r="FY38" s="84" t="str">
        <f>IF(FX38="","",IF(OR(FX38=1,IF(ISNA(MATCH("מוגן",$I38:FX38,0)),FALSE,TRUE)),1,0))</f>
        <v/>
      </c>
      <c r="FZ38" s="241" t="str">
        <f t="shared" si="146"/>
        <v/>
      </c>
      <c r="GA38" s="241" t="str">
        <f t="shared" si="147"/>
        <v/>
      </c>
      <c r="GB38" s="242" t="str">
        <f t="shared" si="148"/>
        <v/>
      </c>
      <c r="GC38" s="240" t="str">
        <f t="shared" si="149"/>
        <v/>
      </c>
      <c r="GD38" s="84" t="str">
        <f t="shared" si="150"/>
        <v/>
      </c>
      <c r="GE38" s="84" t="str">
        <f>IF(GD38="","",IF(OR(GD38=1,IF(ISNA(MATCH("מוגן",$I38:GD38,0)),FALSE,TRUE)),1,0))</f>
        <v/>
      </c>
      <c r="GF38" s="241" t="str">
        <f t="shared" si="151"/>
        <v/>
      </c>
      <c r="GG38" s="241" t="str">
        <f t="shared" si="152"/>
        <v/>
      </c>
      <c r="GH38" s="242" t="str">
        <f t="shared" si="153"/>
        <v/>
      </c>
      <c r="GI38" s="240" t="str">
        <f t="shared" si="154"/>
        <v/>
      </c>
      <c r="GJ38" s="84" t="str">
        <f t="shared" si="155"/>
        <v/>
      </c>
      <c r="GK38" s="84" t="str">
        <f>IF(GJ38="","",IF(OR(GJ38=1,IF(ISNA(MATCH("מוגן",$I38:GJ38,0)),FALSE,TRUE)),1,0))</f>
        <v/>
      </c>
      <c r="GL38" s="241" t="str">
        <f t="shared" si="156"/>
        <v/>
      </c>
      <c r="GM38" s="241" t="str">
        <f t="shared" si="157"/>
        <v/>
      </c>
      <c r="GN38" s="242" t="str">
        <f t="shared" si="158"/>
        <v/>
      </c>
      <c r="GO38" s="240" t="str">
        <f t="shared" si="159"/>
        <v/>
      </c>
      <c r="GP38" s="84" t="str">
        <f t="shared" si="160"/>
        <v/>
      </c>
      <c r="GQ38" s="84" t="str">
        <f>IF(GP38="","",IF(OR(GP38=1,IF(ISNA(MATCH("מוגן",$I38:GP38,0)),FALSE,TRUE)),1,0))</f>
        <v/>
      </c>
      <c r="GR38" s="241" t="str">
        <f t="shared" si="161"/>
        <v/>
      </c>
      <c r="GS38" s="241" t="str">
        <f t="shared" si="162"/>
        <v/>
      </c>
      <c r="GT38" s="242" t="str">
        <f t="shared" si="163"/>
        <v/>
      </c>
      <c r="GU38" s="240" t="str">
        <f t="shared" si="164"/>
        <v/>
      </c>
      <c r="GV38" s="84" t="str">
        <f t="shared" si="165"/>
        <v/>
      </c>
      <c r="GW38" s="84" t="str">
        <f>IF(GV38="","",IF(OR(GV38=1,IF(ISNA(MATCH("מוגן",$I38:GV38,0)),FALSE,TRUE)),1,0))</f>
        <v/>
      </c>
      <c r="GX38" s="241" t="str">
        <f t="shared" si="166"/>
        <v/>
      </c>
      <c r="GY38" s="241" t="str">
        <f t="shared" si="167"/>
        <v/>
      </c>
      <c r="GZ38" s="242" t="str">
        <f t="shared" si="168"/>
        <v/>
      </c>
      <c r="HA38" s="119">
        <f t="shared" si="169"/>
        <v>0</v>
      </c>
      <c r="HB38" s="246" t="str">
        <f t="shared" si="170"/>
        <v>OK</v>
      </c>
      <c r="HC38" s="244" t="str">
        <f t="shared" si="171"/>
        <v/>
      </c>
      <c r="HD38" s="245" t="str">
        <f t="shared" si="172"/>
        <v/>
      </c>
      <c r="HE38" s="111">
        <f t="shared" si="173"/>
        <v>0</v>
      </c>
      <c r="HF38" s="111">
        <f t="shared" si="174"/>
        <v>1</v>
      </c>
      <c r="HG38" s="111" t="b">
        <f>OR(B38="",ISNA(MATCH(C38,{0,1},0)))</f>
        <v>0</v>
      </c>
    </row>
    <row r="39" spans="1:215">
      <c r="A39" s="120">
        <f>ייצוב!A35</f>
        <v>31</v>
      </c>
      <c r="B39" s="121" t="str">
        <f>ייצוב!B35</f>
        <v>גליון ריק 3</v>
      </c>
      <c r="C39" s="67"/>
      <c r="D39" s="240" t="str">
        <f>ייצוב!E35</f>
        <v>---</v>
      </c>
      <c r="E39" s="240">
        <f>ייצוב!G35</f>
        <v>0</v>
      </c>
      <c r="F39" s="240" t="str">
        <f t="shared" si="0"/>
        <v/>
      </c>
      <c r="G39" s="84" t="str">
        <f t="shared" si="1"/>
        <v/>
      </c>
      <c r="H39" s="241" t="str">
        <f t="shared" si="2"/>
        <v/>
      </c>
      <c r="I39" s="241" t="str">
        <f t="array" ref="I39">IF(H39="","",IF(G39=1,"מוגן",H39/SUMIF(G$9:G$41,"=0",H$9:H$41)))</f>
        <v/>
      </c>
      <c r="J39" s="242" t="str">
        <f t="shared" si="3"/>
        <v/>
      </c>
      <c r="K39" s="240" t="str">
        <f t="shared" si="4"/>
        <v/>
      </c>
      <c r="L39" s="84" t="str">
        <f t="shared" si="5"/>
        <v/>
      </c>
      <c r="M39" s="84" t="str">
        <f>IF(L39="","",IF(OR(L39=1,IF(ISNA(MATCH("מוגן",$I39:L39,0)),FALSE,TRUE)),1,0))</f>
        <v/>
      </c>
      <c r="N39" s="241" t="str">
        <f t="shared" si="6"/>
        <v/>
      </c>
      <c r="O39" s="241" t="str">
        <f t="shared" si="7"/>
        <v/>
      </c>
      <c r="P39" s="242" t="str">
        <f t="shared" si="8"/>
        <v/>
      </c>
      <c r="Q39" s="240" t="str">
        <f t="shared" si="9"/>
        <v/>
      </c>
      <c r="R39" s="84" t="str">
        <f t="shared" si="10"/>
        <v/>
      </c>
      <c r="S39" s="84" t="str">
        <f>IF(R39="","",IF(OR(R39=1,IF(ISNA(MATCH("מוגן",$I39:R39,0)),FALSE,TRUE)),1,0))</f>
        <v/>
      </c>
      <c r="T39" s="241" t="str">
        <f t="shared" si="11"/>
        <v/>
      </c>
      <c r="U39" s="241" t="str">
        <f t="shared" si="12"/>
        <v/>
      </c>
      <c r="V39" s="242" t="str">
        <f t="shared" si="13"/>
        <v/>
      </c>
      <c r="W39" s="240" t="str">
        <f t="shared" si="14"/>
        <v/>
      </c>
      <c r="X39" s="84" t="str">
        <f t="shared" si="15"/>
        <v/>
      </c>
      <c r="Y39" s="84" t="str">
        <f>IF(X39="","",IF(OR(X39=1,IF(ISNA(MATCH("מוגן",$I39:X39,0)),FALSE,TRUE)),1,0))</f>
        <v/>
      </c>
      <c r="Z39" s="241" t="str">
        <f t="shared" si="16"/>
        <v/>
      </c>
      <c r="AA39" s="241" t="str">
        <f t="shared" si="17"/>
        <v/>
      </c>
      <c r="AB39" s="242" t="str">
        <f t="shared" si="18"/>
        <v/>
      </c>
      <c r="AC39" s="240" t="str">
        <f t="shared" si="19"/>
        <v/>
      </c>
      <c r="AD39" s="84" t="str">
        <f t="shared" si="20"/>
        <v/>
      </c>
      <c r="AE39" s="84" t="str">
        <f>IF(AD39="","",IF(OR(AD39=1,IF(ISNA(MATCH("מוגן",$I39:AD39,0)),FALSE,TRUE)),1,0))</f>
        <v/>
      </c>
      <c r="AF39" s="241" t="str">
        <f t="shared" si="21"/>
        <v/>
      </c>
      <c r="AG39" s="241" t="str">
        <f t="shared" si="22"/>
        <v/>
      </c>
      <c r="AH39" s="242" t="str">
        <f t="shared" si="23"/>
        <v/>
      </c>
      <c r="AI39" s="240" t="str">
        <f t="shared" si="24"/>
        <v/>
      </c>
      <c r="AJ39" s="84" t="str">
        <f t="shared" si="25"/>
        <v/>
      </c>
      <c r="AK39" s="84" t="str">
        <f>IF(AJ39="","",IF(OR(AJ39=1,IF(ISNA(MATCH("מוגן",$I39:AJ39,0)),FALSE,TRUE)),1,0))</f>
        <v/>
      </c>
      <c r="AL39" s="241" t="str">
        <f t="shared" si="26"/>
        <v/>
      </c>
      <c r="AM39" s="241" t="str">
        <f t="shared" si="27"/>
        <v/>
      </c>
      <c r="AN39" s="242" t="str">
        <f t="shared" si="28"/>
        <v/>
      </c>
      <c r="AO39" s="240" t="str">
        <f t="shared" si="29"/>
        <v/>
      </c>
      <c r="AP39" s="84" t="str">
        <f t="shared" si="30"/>
        <v/>
      </c>
      <c r="AQ39" s="84" t="str">
        <f>IF(AP39="","",IF(OR(AP39=1,IF(ISNA(MATCH("מוגן",$I39:AP39,0)),FALSE,TRUE)),1,0))</f>
        <v/>
      </c>
      <c r="AR39" s="241" t="str">
        <f t="shared" si="31"/>
        <v/>
      </c>
      <c r="AS39" s="241" t="str">
        <f t="shared" si="32"/>
        <v/>
      </c>
      <c r="AT39" s="242" t="str">
        <f t="shared" si="33"/>
        <v/>
      </c>
      <c r="AU39" s="240" t="str">
        <f t="shared" si="34"/>
        <v/>
      </c>
      <c r="AV39" s="84" t="str">
        <f t="shared" si="35"/>
        <v/>
      </c>
      <c r="AW39" s="84" t="str">
        <f>IF(AV39="","",IF(OR(AV39=1,IF(ISNA(MATCH("מוגן",$I39:AV39,0)),FALSE,TRUE)),1,0))</f>
        <v/>
      </c>
      <c r="AX39" s="241" t="str">
        <f t="shared" si="36"/>
        <v/>
      </c>
      <c r="AY39" s="241" t="str">
        <f t="shared" si="37"/>
        <v/>
      </c>
      <c r="AZ39" s="242" t="str">
        <f t="shared" si="38"/>
        <v/>
      </c>
      <c r="BA39" s="240" t="str">
        <f t="shared" si="39"/>
        <v/>
      </c>
      <c r="BB39" s="84" t="str">
        <f t="shared" si="40"/>
        <v/>
      </c>
      <c r="BC39" s="84" t="str">
        <f>IF(BB39="","",IF(OR(BB39=1,IF(ISNA(MATCH("מוגן",$I39:BB39,0)),FALSE,TRUE)),1,0))</f>
        <v/>
      </c>
      <c r="BD39" s="241" t="str">
        <f t="shared" si="41"/>
        <v/>
      </c>
      <c r="BE39" s="241" t="str">
        <f t="shared" si="42"/>
        <v/>
      </c>
      <c r="BF39" s="242" t="str">
        <f t="shared" si="43"/>
        <v/>
      </c>
      <c r="BG39" s="240" t="str">
        <f t="shared" si="44"/>
        <v/>
      </c>
      <c r="BH39" s="84" t="str">
        <f t="shared" si="45"/>
        <v/>
      </c>
      <c r="BI39" s="84" t="str">
        <f>IF(BH39="","",IF(OR(BH39=1,IF(ISNA(MATCH("מוגן",$I39:BH39,0)),FALSE,TRUE)),1,0))</f>
        <v/>
      </c>
      <c r="BJ39" s="241" t="str">
        <f t="shared" si="46"/>
        <v/>
      </c>
      <c r="BK39" s="241" t="str">
        <f t="shared" si="47"/>
        <v/>
      </c>
      <c r="BL39" s="242" t="str">
        <f t="shared" si="48"/>
        <v/>
      </c>
      <c r="BM39" s="240" t="str">
        <f t="shared" si="49"/>
        <v/>
      </c>
      <c r="BN39" s="84" t="str">
        <f t="shared" si="50"/>
        <v/>
      </c>
      <c r="BO39" s="84" t="str">
        <f>IF(BN39="","",IF(OR(BN39=1,IF(ISNA(MATCH("מוגן",$I39:BN39,0)),FALSE,TRUE)),1,0))</f>
        <v/>
      </c>
      <c r="BP39" s="241" t="str">
        <f t="shared" si="51"/>
        <v/>
      </c>
      <c r="BQ39" s="241" t="str">
        <f t="shared" si="52"/>
        <v/>
      </c>
      <c r="BR39" s="242" t="str">
        <f t="shared" si="53"/>
        <v/>
      </c>
      <c r="BS39" s="240" t="str">
        <f t="shared" si="54"/>
        <v/>
      </c>
      <c r="BT39" s="84" t="str">
        <f t="shared" si="55"/>
        <v/>
      </c>
      <c r="BU39" s="84" t="str">
        <f>IF(BT39="","",IF(OR(BT39=1,IF(ISNA(MATCH("מוגן",$I39:BT39,0)),FALSE,TRUE)),1,0))</f>
        <v/>
      </c>
      <c r="BV39" s="241" t="str">
        <f t="shared" si="56"/>
        <v/>
      </c>
      <c r="BW39" s="241" t="str">
        <f t="shared" si="57"/>
        <v/>
      </c>
      <c r="BX39" s="242" t="str">
        <f t="shared" si="58"/>
        <v/>
      </c>
      <c r="BY39" s="240" t="str">
        <f t="shared" si="59"/>
        <v/>
      </c>
      <c r="BZ39" s="84" t="str">
        <f t="shared" si="60"/>
        <v/>
      </c>
      <c r="CA39" s="84" t="str">
        <f>IF(BZ39="","",IF(OR(BZ39=1,IF(ISNA(MATCH("מוגן",$I39:BZ39,0)),FALSE,TRUE)),1,0))</f>
        <v/>
      </c>
      <c r="CB39" s="241" t="str">
        <f t="shared" si="61"/>
        <v/>
      </c>
      <c r="CC39" s="241" t="str">
        <f t="shared" si="62"/>
        <v/>
      </c>
      <c r="CD39" s="242" t="str">
        <f t="shared" si="63"/>
        <v/>
      </c>
      <c r="CE39" s="240" t="str">
        <f t="shared" si="64"/>
        <v/>
      </c>
      <c r="CF39" s="84" t="str">
        <f t="shared" si="65"/>
        <v/>
      </c>
      <c r="CG39" s="84" t="str">
        <f>IF(CF39="","",IF(OR(CF39=1,IF(ISNA(MATCH("מוגן",$I39:CF39,0)),FALSE,TRUE)),1,0))</f>
        <v/>
      </c>
      <c r="CH39" s="241" t="str">
        <f t="shared" si="66"/>
        <v/>
      </c>
      <c r="CI39" s="241" t="str">
        <f t="shared" si="67"/>
        <v/>
      </c>
      <c r="CJ39" s="242" t="str">
        <f t="shared" si="68"/>
        <v/>
      </c>
      <c r="CK39" s="240" t="str">
        <f t="shared" si="69"/>
        <v/>
      </c>
      <c r="CL39" s="84" t="str">
        <f t="shared" si="70"/>
        <v/>
      </c>
      <c r="CM39" s="84" t="str">
        <f>IF(CL39="","",IF(OR(CL39=1,IF(ISNA(MATCH("מוגן",$I39:CL39,0)),FALSE,TRUE)),1,0))</f>
        <v/>
      </c>
      <c r="CN39" s="241" t="str">
        <f t="shared" si="71"/>
        <v/>
      </c>
      <c r="CO39" s="241" t="str">
        <f t="shared" si="72"/>
        <v/>
      </c>
      <c r="CP39" s="242" t="str">
        <f t="shared" si="73"/>
        <v/>
      </c>
      <c r="CQ39" s="240" t="str">
        <f t="shared" si="74"/>
        <v/>
      </c>
      <c r="CR39" s="84" t="str">
        <f t="shared" si="75"/>
        <v/>
      </c>
      <c r="CS39" s="84" t="str">
        <f>IF(CR39="","",IF(OR(CR39=1,IF(ISNA(MATCH("מוגן",$I39:CR39,0)),FALSE,TRUE)),1,0))</f>
        <v/>
      </c>
      <c r="CT39" s="241" t="str">
        <f t="shared" si="76"/>
        <v/>
      </c>
      <c r="CU39" s="241" t="str">
        <f t="shared" si="77"/>
        <v/>
      </c>
      <c r="CV39" s="242" t="str">
        <f t="shared" si="78"/>
        <v/>
      </c>
      <c r="CW39" s="240" t="str">
        <f t="shared" si="79"/>
        <v/>
      </c>
      <c r="CX39" s="84" t="str">
        <f t="shared" si="80"/>
        <v/>
      </c>
      <c r="CY39" s="84" t="str">
        <f>IF(CX39="","",IF(OR(CX39=1,IF(ISNA(MATCH("מוגן",$I39:CX39,0)),FALSE,TRUE)),1,0))</f>
        <v/>
      </c>
      <c r="CZ39" s="241" t="str">
        <f t="shared" si="81"/>
        <v/>
      </c>
      <c r="DA39" s="241" t="str">
        <f t="shared" si="82"/>
        <v/>
      </c>
      <c r="DB39" s="242" t="str">
        <f t="shared" si="83"/>
        <v/>
      </c>
      <c r="DC39" s="240" t="str">
        <f t="shared" si="84"/>
        <v/>
      </c>
      <c r="DD39" s="84" t="str">
        <f t="shared" si="85"/>
        <v/>
      </c>
      <c r="DE39" s="84" t="str">
        <f>IF(DD39="","",IF(OR(DD39=1,IF(ISNA(MATCH("מוגן",$I39:DD39,0)),FALSE,TRUE)),1,0))</f>
        <v/>
      </c>
      <c r="DF39" s="241" t="str">
        <f t="shared" si="86"/>
        <v/>
      </c>
      <c r="DG39" s="241" t="str">
        <f t="shared" si="87"/>
        <v/>
      </c>
      <c r="DH39" s="242" t="str">
        <f t="shared" si="88"/>
        <v/>
      </c>
      <c r="DI39" s="240" t="str">
        <f t="shared" si="89"/>
        <v/>
      </c>
      <c r="DJ39" s="84" t="str">
        <f t="shared" si="90"/>
        <v/>
      </c>
      <c r="DK39" s="84" t="str">
        <f>IF(DJ39="","",IF(OR(DJ39=1,IF(ISNA(MATCH("מוגן",$I39:DJ39,0)),FALSE,TRUE)),1,0))</f>
        <v/>
      </c>
      <c r="DL39" s="241" t="str">
        <f t="shared" si="91"/>
        <v/>
      </c>
      <c r="DM39" s="241" t="str">
        <f t="shared" si="92"/>
        <v/>
      </c>
      <c r="DN39" s="242" t="str">
        <f t="shared" si="93"/>
        <v/>
      </c>
      <c r="DO39" s="240" t="str">
        <f t="shared" si="94"/>
        <v/>
      </c>
      <c r="DP39" s="84" t="str">
        <f t="shared" si="95"/>
        <v/>
      </c>
      <c r="DQ39" s="84" t="str">
        <f>IF(DP39="","",IF(OR(DP39=1,IF(ISNA(MATCH("מוגן",$I39:DP39,0)),FALSE,TRUE)),1,0))</f>
        <v/>
      </c>
      <c r="DR39" s="241" t="str">
        <f t="shared" si="96"/>
        <v/>
      </c>
      <c r="DS39" s="241" t="str">
        <f t="shared" si="97"/>
        <v/>
      </c>
      <c r="DT39" s="242" t="str">
        <f t="shared" si="98"/>
        <v/>
      </c>
      <c r="DU39" s="240" t="str">
        <f t="shared" si="99"/>
        <v/>
      </c>
      <c r="DV39" s="84" t="str">
        <f t="shared" si="100"/>
        <v/>
      </c>
      <c r="DW39" s="84" t="str">
        <f>IF(DV39="","",IF(OR(DV39=1,IF(ISNA(MATCH("מוגן",$I39:DV39,0)),FALSE,TRUE)),1,0))</f>
        <v/>
      </c>
      <c r="DX39" s="241" t="str">
        <f t="shared" si="101"/>
        <v/>
      </c>
      <c r="DY39" s="241" t="str">
        <f t="shared" si="102"/>
        <v/>
      </c>
      <c r="DZ39" s="242" t="str">
        <f t="shared" si="103"/>
        <v/>
      </c>
      <c r="EA39" s="240" t="str">
        <f t="shared" si="104"/>
        <v/>
      </c>
      <c r="EB39" s="84" t="str">
        <f t="shared" si="105"/>
        <v/>
      </c>
      <c r="EC39" s="84" t="str">
        <f>IF(EB39="","",IF(OR(EB39=1,IF(ISNA(MATCH("מוגן",$I39:EB39,0)),FALSE,TRUE)),1,0))</f>
        <v/>
      </c>
      <c r="ED39" s="241" t="str">
        <f t="shared" si="106"/>
        <v/>
      </c>
      <c r="EE39" s="241" t="str">
        <f t="shared" si="107"/>
        <v/>
      </c>
      <c r="EF39" s="242" t="str">
        <f t="shared" si="108"/>
        <v/>
      </c>
      <c r="EG39" s="240" t="str">
        <f t="shared" si="109"/>
        <v/>
      </c>
      <c r="EH39" s="84" t="str">
        <f t="shared" si="110"/>
        <v/>
      </c>
      <c r="EI39" s="84" t="str">
        <f>IF(EH39="","",IF(OR(EH39=1,IF(ISNA(MATCH("מוגן",$I39:EH39,0)),FALSE,TRUE)),1,0))</f>
        <v/>
      </c>
      <c r="EJ39" s="241" t="str">
        <f t="shared" si="111"/>
        <v/>
      </c>
      <c r="EK39" s="241" t="str">
        <f t="shared" si="112"/>
        <v/>
      </c>
      <c r="EL39" s="242" t="str">
        <f t="shared" si="113"/>
        <v/>
      </c>
      <c r="EM39" s="240" t="str">
        <f t="shared" si="114"/>
        <v/>
      </c>
      <c r="EN39" s="84" t="str">
        <f t="shared" si="115"/>
        <v/>
      </c>
      <c r="EO39" s="84" t="str">
        <f>IF(EN39="","",IF(OR(EN39=1,IF(ISNA(MATCH("מוגן",$I39:EN39,0)),FALSE,TRUE)),1,0))</f>
        <v/>
      </c>
      <c r="EP39" s="241" t="str">
        <f t="shared" si="116"/>
        <v/>
      </c>
      <c r="EQ39" s="241" t="str">
        <f t="shared" si="117"/>
        <v/>
      </c>
      <c r="ER39" s="242" t="str">
        <f t="shared" si="118"/>
        <v/>
      </c>
      <c r="ES39" s="240" t="str">
        <f t="shared" si="119"/>
        <v/>
      </c>
      <c r="ET39" s="84" t="str">
        <f t="shared" si="120"/>
        <v/>
      </c>
      <c r="EU39" s="84" t="str">
        <f>IF(ET39="","",IF(OR(ET39=1,IF(ISNA(MATCH("מוגן",$I39:ET39,0)),FALSE,TRUE)),1,0))</f>
        <v/>
      </c>
      <c r="EV39" s="241" t="str">
        <f t="shared" si="121"/>
        <v/>
      </c>
      <c r="EW39" s="241" t="str">
        <f t="shared" si="122"/>
        <v/>
      </c>
      <c r="EX39" s="242" t="str">
        <f t="shared" si="123"/>
        <v/>
      </c>
      <c r="EY39" s="240" t="str">
        <f t="shared" si="124"/>
        <v/>
      </c>
      <c r="EZ39" s="84" t="str">
        <f t="shared" si="125"/>
        <v/>
      </c>
      <c r="FA39" s="84" t="str">
        <f>IF(EZ39="","",IF(OR(EZ39=1,IF(ISNA(MATCH("מוגן",$I39:EZ39,0)),FALSE,TRUE)),1,0))</f>
        <v/>
      </c>
      <c r="FB39" s="241" t="str">
        <f t="shared" si="126"/>
        <v/>
      </c>
      <c r="FC39" s="241" t="str">
        <f t="shared" si="127"/>
        <v/>
      </c>
      <c r="FD39" s="242" t="str">
        <f t="shared" si="128"/>
        <v/>
      </c>
      <c r="FE39" s="240" t="str">
        <f t="shared" si="129"/>
        <v/>
      </c>
      <c r="FF39" s="84" t="str">
        <f t="shared" si="130"/>
        <v/>
      </c>
      <c r="FG39" s="84" t="str">
        <f>IF(FF39="","",IF(OR(FF39=1,IF(ISNA(MATCH("מוגן",$I39:FF39,0)),FALSE,TRUE)),1,0))</f>
        <v/>
      </c>
      <c r="FH39" s="241" t="str">
        <f t="shared" si="131"/>
        <v/>
      </c>
      <c r="FI39" s="241" t="str">
        <f t="shared" si="132"/>
        <v/>
      </c>
      <c r="FJ39" s="242" t="str">
        <f t="shared" si="133"/>
        <v/>
      </c>
      <c r="FK39" s="240" t="str">
        <f t="shared" si="134"/>
        <v/>
      </c>
      <c r="FL39" s="84" t="str">
        <f t="shared" si="135"/>
        <v/>
      </c>
      <c r="FM39" s="84" t="str">
        <f>IF(FL39="","",IF(OR(FL39=1,IF(ISNA(MATCH("מוגן",$I39:FL39,0)),FALSE,TRUE)),1,0))</f>
        <v/>
      </c>
      <c r="FN39" s="241" t="str">
        <f t="shared" si="136"/>
        <v/>
      </c>
      <c r="FO39" s="241" t="str">
        <f t="shared" si="137"/>
        <v/>
      </c>
      <c r="FP39" s="242" t="str">
        <f t="shared" si="138"/>
        <v/>
      </c>
      <c r="FQ39" s="240" t="str">
        <f t="shared" si="139"/>
        <v/>
      </c>
      <c r="FR39" s="84" t="str">
        <f t="shared" si="140"/>
        <v/>
      </c>
      <c r="FS39" s="84" t="str">
        <f>IF(FR39="","",IF(OR(FR39=1,IF(ISNA(MATCH("מוגן",$I39:FR39,0)),FALSE,TRUE)),1,0))</f>
        <v/>
      </c>
      <c r="FT39" s="241" t="str">
        <f t="shared" si="141"/>
        <v/>
      </c>
      <c r="FU39" s="241" t="str">
        <f t="shared" si="142"/>
        <v/>
      </c>
      <c r="FV39" s="242" t="str">
        <f t="shared" si="143"/>
        <v/>
      </c>
      <c r="FW39" s="240" t="str">
        <f t="shared" si="144"/>
        <v/>
      </c>
      <c r="FX39" s="84" t="str">
        <f t="shared" si="145"/>
        <v/>
      </c>
      <c r="FY39" s="84" t="str">
        <f>IF(FX39="","",IF(OR(FX39=1,IF(ISNA(MATCH("מוגן",$I39:FX39,0)),FALSE,TRUE)),1,0))</f>
        <v/>
      </c>
      <c r="FZ39" s="241" t="str">
        <f t="shared" si="146"/>
        <v/>
      </c>
      <c r="GA39" s="241" t="str">
        <f t="shared" si="147"/>
        <v/>
      </c>
      <c r="GB39" s="242" t="str">
        <f t="shared" si="148"/>
        <v/>
      </c>
      <c r="GC39" s="240" t="str">
        <f t="shared" si="149"/>
        <v/>
      </c>
      <c r="GD39" s="84" t="str">
        <f t="shared" si="150"/>
        <v/>
      </c>
      <c r="GE39" s="84" t="str">
        <f>IF(GD39="","",IF(OR(GD39=1,IF(ISNA(MATCH("מוגן",$I39:GD39,0)),FALSE,TRUE)),1,0))</f>
        <v/>
      </c>
      <c r="GF39" s="241" t="str">
        <f t="shared" si="151"/>
        <v/>
      </c>
      <c r="GG39" s="241" t="str">
        <f t="shared" si="152"/>
        <v/>
      </c>
      <c r="GH39" s="242" t="str">
        <f t="shared" si="153"/>
        <v/>
      </c>
      <c r="GI39" s="240" t="str">
        <f t="shared" si="154"/>
        <v/>
      </c>
      <c r="GJ39" s="84" t="str">
        <f t="shared" si="155"/>
        <v/>
      </c>
      <c r="GK39" s="84" t="str">
        <f>IF(GJ39="","",IF(OR(GJ39=1,IF(ISNA(MATCH("מוגן",$I39:GJ39,0)),FALSE,TRUE)),1,0))</f>
        <v/>
      </c>
      <c r="GL39" s="241" t="str">
        <f t="shared" si="156"/>
        <v/>
      </c>
      <c r="GM39" s="241" t="str">
        <f t="shared" si="157"/>
        <v/>
      </c>
      <c r="GN39" s="242" t="str">
        <f t="shared" si="158"/>
        <v/>
      </c>
      <c r="GO39" s="240" t="str">
        <f t="shared" si="159"/>
        <v/>
      </c>
      <c r="GP39" s="84" t="str">
        <f t="shared" si="160"/>
        <v/>
      </c>
      <c r="GQ39" s="84" t="str">
        <f>IF(GP39="","",IF(OR(GP39=1,IF(ISNA(MATCH("מוגן",$I39:GP39,0)),FALSE,TRUE)),1,0))</f>
        <v/>
      </c>
      <c r="GR39" s="241" t="str">
        <f t="shared" si="161"/>
        <v/>
      </c>
      <c r="GS39" s="241" t="str">
        <f t="shared" si="162"/>
        <v/>
      </c>
      <c r="GT39" s="242" t="str">
        <f t="shared" si="163"/>
        <v/>
      </c>
      <c r="GU39" s="240" t="str">
        <f t="shared" si="164"/>
        <v/>
      </c>
      <c r="GV39" s="84" t="str">
        <f t="shared" si="165"/>
        <v/>
      </c>
      <c r="GW39" s="84" t="str">
        <f>IF(GV39="","",IF(OR(GV39=1,IF(ISNA(MATCH("מוגן",$I39:GV39,0)),FALSE,TRUE)),1,0))</f>
        <v/>
      </c>
      <c r="GX39" s="241" t="str">
        <f t="shared" si="166"/>
        <v/>
      </c>
      <c r="GY39" s="241" t="str">
        <f t="shared" si="167"/>
        <v/>
      </c>
      <c r="GZ39" s="242" t="str">
        <f t="shared" si="168"/>
        <v/>
      </c>
      <c r="HA39" s="119">
        <f t="shared" si="169"/>
        <v>0</v>
      </c>
      <c r="HB39" s="246" t="str">
        <f t="shared" si="170"/>
        <v>OK</v>
      </c>
      <c r="HC39" s="244" t="str">
        <f t="shared" si="171"/>
        <v/>
      </c>
      <c r="HD39" s="245" t="str">
        <f t="shared" si="172"/>
        <v/>
      </c>
      <c r="HE39" s="111">
        <f t="shared" si="173"/>
        <v>0</v>
      </c>
      <c r="HF39" s="111">
        <f t="shared" si="174"/>
        <v>1</v>
      </c>
      <c r="HG39" s="111" t="b">
        <f>OR(B39="",ISNA(MATCH(C39,{0,1},0)))</f>
        <v>0</v>
      </c>
    </row>
    <row r="40" spans="1:215">
      <c r="A40" s="120">
        <f>ייצוב!A36</f>
        <v>32</v>
      </c>
      <c r="B40" s="121" t="str">
        <f>ייצוב!B36</f>
        <v/>
      </c>
      <c r="C40" s="67"/>
      <c r="D40" s="240" t="str">
        <f>ייצוב!E36</f>
        <v/>
      </c>
      <c r="E40" s="240" t="str">
        <f>ייצוב!G36</f>
        <v/>
      </c>
      <c r="F40" s="240" t="str">
        <f t="shared" si="0"/>
        <v/>
      </c>
      <c r="G40" s="84" t="str">
        <f t="shared" si="1"/>
        <v/>
      </c>
      <c r="H40" s="241" t="str">
        <f t="shared" si="2"/>
        <v/>
      </c>
      <c r="I40" s="241" t="str">
        <f t="array" ref="I40">IF(H40="","",IF(G40=1,"מוגן",H40/SUMIF(G$9:G$41,"=0",H$9:H$41)))</f>
        <v/>
      </c>
      <c r="J40" s="242" t="str">
        <f t="shared" si="3"/>
        <v/>
      </c>
      <c r="K40" s="240" t="str">
        <f t="shared" si="4"/>
        <v/>
      </c>
      <c r="L40" s="84" t="str">
        <f t="shared" si="5"/>
        <v/>
      </c>
      <c r="M40" s="84" t="str">
        <f>IF(L40="","",IF(OR(L40=1,IF(ISNA(MATCH("מוגן",$I40:L40,0)),FALSE,TRUE)),1,0))</f>
        <v/>
      </c>
      <c r="N40" s="241" t="str">
        <f t="shared" si="6"/>
        <v/>
      </c>
      <c r="O40" s="241" t="str">
        <f t="shared" si="7"/>
        <v/>
      </c>
      <c r="P40" s="242" t="str">
        <f t="shared" si="8"/>
        <v/>
      </c>
      <c r="Q40" s="240" t="str">
        <f t="shared" si="9"/>
        <v/>
      </c>
      <c r="R40" s="84" t="str">
        <f t="shared" si="10"/>
        <v/>
      </c>
      <c r="S40" s="84" t="str">
        <f>IF(R40="","",IF(OR(R40=1,IF(ISNA(MATCH("מוגן",$I40:R40,0)),FALSE,TRUE)),1,0))</f>
        <v/>
      </c>
      <c r="T40" s="241" t="str">
        <f t="shared" si="11"/>
        <v/>
      </c>
      <c r="U40" s="241" t="str">
        <f t="shared" si="12"/>
        <v/>
      </c>
      <c r="V40" s="242" t="str">
        <f t="shared" si="13"/>
        <v/>
      </c>
      <c r="W40" s="240" t="str">
        <f t="shared" si="14"/>
        <v/>
      </c>
      <c r="X40" s="84" t="str">
        <f t="shared" si="15"/>
        <v/>
      </c>
      <c r="Y40" s="84" t="str">
        <f>IF(X40="","",IF(OR(X40=1,IF(ISNA(MATCH("מוגן",$I40:X40,0)),FALSE,TRUE)),1,0))</f>
        <v/>
      </c>
      <c r="Z40" s="241" t="str">
        <f t="shared" si="16"/>
        <v/>
      </c>
      <c r="AA40" s="241" t="str">
        <f t="shared" si="17"/>
        <v/>
      </c>
      <c r="AB40" s="242" t="str">
        <f t="shared" si="18"/>
        <v/>
      </c>
      <c r="AC40" s="240" t="str">
        <f t="shared" si="19"/>
        <v/>
      </c>
      <c r="AD40" s="84" t="str">
        <f t="shared" si="20"/>
        <v/>
      </c>
      <c r="AE40" s="84" t="str">
        <f>IF(AD40="","",IF(OR(AD40=1,IF(ISNA(MATCH("מוגן",$I40:AD40,0)),FALSE,TRUE)),1,0))</f>
        <v/>
      </c>
      <c r="AF40" s="241" t="str">
        <f t="shared" si="21"/>
        <v/>
      </c>
      <c r="AG40" s="241" t="str">
        <f t="shared" si="22"/>
        <v/>
      </c>
      <c r="AH40" s="242" t="str">
        <f t="shared" si="23"/>
        <v/>
      </c>
      <c r="AI40" s="240" t="str">
        <f t="shared" si="24"/>
        <v/>
      </c>
      <c r="AJ40" s="84" t="str">
        <f t="shared" si="25"/>
        <v/>
      </c>
      <c r="AK40" s="84" t="str">
        <f>IF(AJ40="","",IF(OR(AJ40=1,IF(ISNA(MATCH("מוגן",$I40:AJ40,0)),FALSE,TRUE)),1,0))</f>
        <v/>
      </c>
      <c r="AL40" s="241" t="str">
        <f t="shared" si="26"/>
        <v/>
      </c>
      <c r="AM40" s="241" t="str">
        <f t="shared" si="27"/>
        <v/>
      </c>
      <c r="AN40" s="242" t="str">
        <f t="shared" si="28"/>
        <v/>
      </c>
      <c r="AO40" s="240" t="str">
        <f t="shared" si="29"/>
        <v/>
      </c>
      <c r="AP40" s="84" t="str">
        <f t="shared" si="30"/>
        <v/>
      </c>
      <c r="AQ40" s="84" t="str">
        <f>IF(AP40="","",IF(OR(AP40=1,IF(ISNA(MATCH("מוגן",$I40:AP40,0)),FALSE,TRUE)),1,0))</f>
        <v/>
      </c>
      <c r="AR40" s="241" t="str">
        <f t="shared" si="31"/>
        <v/>
      </c>
      <c r="AS40" s="241" t="str">
        <f t="shared" si="32"/>
        <v/>
      </c>
      <c r="AT40" s="242" t="str">
        <f t="shared" si="33"/>
        <v/>
      </c>
      <c r="AU40" s="240" t="str">
        <f t="shared" si="34"/>
        <v/>
      </c>
      <c r="AV40" s="84" t="str">
        <f t="shared" si="35"/>
        <v/>
      </c>
      <c r="AW40" s="84" t="str">
        <f>IF(AV40="","",IF(OR(AV40=1,IF(ISNA(MATCH("מוגן",$I40:AV40,0)),FALSE,TRUE)),1,0))</f>
        <v/>
      </c>
      <c r="AX40" s="241" t="str">
        <f t="shared" si="36"/>
        <v/>
      </c>
      <c r="AY40" s="241" t="str">
        <f t="shared" si="37"/>
        <v/>
      </c>
      <c r="AZ40" s="242" t="str">
        <f t="shared" si="38"/>
        <v/>
      </c>
      <c r="BA40" s="240" t="str">
        <f t="shared" si="39"/>
        <v/>
      </c>
      <c r="BB40" s="84" t="str">
        <f t="shared" si="40"/>
        <v/>
      </c>
      <c r="BC40" s="84" t="str">
        <f>IF(BB40="","",IF(OR(BB40=1,IF(ISNA(MATCH("מוגן",$I40:BB40,0)),FALSE,TRUE)),1,0))</f>
        <v/>
      </c>
      <c r="BD40" s="241" t="str">
        <f t="shared" si="41"/>
        <v/>
      </c>
      <c r="BE40" s="241" t="str">
        <f t="shared" si="42"/>
        <v/>
      </c>
      <c r="BF40" s="242" t="str">
        <f t="shared" si="43"/>
        <v/>
      </c>
      <c r="BG40" s="240" t="str">
        <f t="shared" si="44"/>
        <v/>
      </c>
      <c r="BH40" s="84" t="str">
        <f t="shared" si="45"/>
        <v/>
      </c>
      <c r="BI40" s="84" t="str">
        <f>IF(BH40="","",IF(OR(BH40=1,IF(ISNA(MATCH("מוגן",$I40:BH40,0)),FALSE,TRUE)),1,0))</f>
        <v/>
      </c>
      <c r="BJ40" s="241" t="str">
        <f t="shared" si="46"/>
        <v/>
      </c>
      <c r="BK40" s="241" t="str">
        <f t="shared" si="47"/>
        <v/>
      </c>
      <c r="BL40" s="242" t="str">
        <f t="shared" si="48"/>
        <v/>
      </c>
      <c r="BM40" s="240" t="str">
        <f t="shared" si="49"/>
        <v/>
      </c>
      <c r="BN40" s="84" t="str">
        <f t="shared" si="50"/>
        <v/>
      </c>
      <c r="BO40" s="84" t="str">
        <f>IF(BN40="","",IF(OR(BN40=1,IF(ISNA(MATCH("מוגן",$I40:BN40,0)),FALSE,TRUE)),1,0))</f>
        <v/>
      </c>
      <c r="BP40" s="241" t="str">
        <f t="shared" si="51"/>
        <v/>
      </c>
      <c r="BQ40" s="241" t="str">
        <f t="shared" si="52"/>
        <v/>
      </c>
      <c r="BR40" s="242" t="str">
        <f t="shared" si="53"/>
        <v/>
      </c>
      <c r="BS40" s="240" t="str">
        <f t="shared" si="54"/>
        <v/>
      </c>
      <c r="BT40" s="84" t="str">
        <f t="shared" si="55"/>
        <v/>
      </c>
      <c r="BU40" s="84" t="str">
        <f>IF(BT40="","",IF(OR(BT40=1,IF(ISNA(MATCH("מוגן",$I40:BT40,0)),FALSE,TRUE)),1,0))</f>
        <v/>
      </c>
      <c r="BV40" s="241" t="str">
        <f t="shared" si="56"/>
        <v/>
      </c>
      <c r="BW40" s="241" t="str">
        <f t="shared" si="57"/>
        <v/>
      </c>
      <c r="BX40" s="242" t="str">
        <f t="shared" si="58"/>
        <v/>
      </c>
      <c r="BY40" s="240" t="str">
        <f t="shared" si="59"/>
        <v/>
      </c>
      <c r="BZ40" s="84" t="str">
        <f t="shared" si="60"/>
        <v/>
      </c>
      <c r="CA40" s="84" t="str">
        <f>IF(BZ40="","",IF(OR(BZ40=1,IF(ISNA(MATCH("מוגן",$I40:BZ40,0)),FALSE,TRUE)),1,0))</f>
        <v/>
      </c>
      <c r="CB40" s="241" t="str">
        <f t="shared" si="61"/>
        <v/>
      </c>
      <c r="CC40" s="241" t="str">
        <f t="shared" si="62"/>
        <v/>
      </c>
      <c r="CD40" s="242" t="str">
        <f t="shared" si="63"/>
        <v/>
      </c>
      <c r="CE40" s="240" t="str">
        <f t="shared" si="64"/>
        <v/>
      </c>
      <c r="CF40" s="84" t="str">
        <f t="shared" si="65"/>
        <v/>
      </c>
      <c r="CG40" s="84" t="str">
        <f>IF(CF40="","",IF(OR(CF40=1,IF(ISNA(MATCH("מוגן",$I40:CF40,0)),FALSE,TRUE)),1,0))</f>
        <v/>
      </c>
      <c r="CH40" s="241" t="str">
        <f t="shared" si="66"/>
        <v/>
      </c>
      <c r="CI40" s="241" t="str">
        <f t="shared" si="67"/>
        <v/>
      </c>
      <c r="CJ40" s="242" t="str">
        <f t="shared" si="68"/>
        <v/>
      </c>
      <c r="CK40" s="240" t="str">
        <f t="shared" si="69"/>
        <v/>
      </c>
      <c r="CL40" s="84" t="str">
        <f t="shared" si="70"/>
        <v/>
      </c>
      <c r="CM40" s="84" t="str">
        <f>IF(CL40="","",IF(OR(CL40=1,IF(ISNA(MATCH("מוגן",$I40:CL40,0)),FALSE,TRUE)),1,0))</f>
        <v/>
      </c>
      <c r="CN40" s="241" t="str">
        <f t="shared" si="71"/>
        <v/>
      </c>
      <c r="CO40" s="241" t="str">
        <f t="shared" si="72"/>
        <v/>
      </c>
      <c r="CP40" s="242" t="str">
        <f t="shared" si="73"/>
        <v/>
      </c>
      <c r="CQ40" s="240" t="str">
        <f t="shared" si="74"/>
        <v/>
      </c>
      <c r="CR40" s="84" t="str">
        <f t="shared" si="75"/>
        <v/>
      </c>
      <c r="CS40" s="84" t="str">
        <f>IF(CR40="","",IF(OR(CR40=1,IF(ISNA(MATCH("מוגן",$I40:CR40,0)),FALSE,TRUE)),1,0))</f>
        <v/>
      </c>
      <c r="CT40" s="241" t="str">
        <f t="shared" si="76"/>
        <v/>
      </c>
      <c r="CU40" s="241" t="str">
        <f t="shared" si="77"/>
        <v/>
      </c>
      <c r="CV40" s="242" t="str">
        <f t="shared" si="78"/>
        <v/>
      </c>
      <c r="CW40" s="240" t="str">
        <f t="shared" si="79"/>
        <v/>
      </c>
      <c r="CX40" s="84" t="str">
        <f t="shared" si="80"/>
        <v/>
      </c>
      <c r="CY40" s="84" t="str">
        <f>IF(CX40="","",IF(OR(CX40=1,IF(ISNA(MATCH("מוגן",$I40:CX40,0)),FALSE,TRUE)),1,0))</f>
        <v/>
      </c>
      <c r="CZ40" s="241" t="str">
        <f t="shared" si="81"/>
        <v/>
      </c>
      <c r="DA40" s="241" t="str">
        <f t="shared" si="82"/>
        <v/>
      </c>
      <c r="DB40" s="242" t="str">
        <f t="shared" si="83"/>
        <v/>
      </c>
      <c r="DC40" s="240" t="str">
        <f t="shared" si="84"/>
        <v/>
      </c>
      <c r="DD40" s="84" t="str">
        <f t="shared" si="85"/>
        <v/>
      </c>
      <c r="DE40" s="84" t="str">
        <f>IF(DD40="","",IF(OR(DD40=1,IF(ISNA(MATCH("מוגן",$I40:DD40,0)),FALSE,TRUE)),1,0))</f>
        <v/>
      </c>
      <c r="DF40" s="241" t="str">
        <f t="shared" si="86"/>
        <v/>
      </c>
      <c r="DG40" s="241" t="str">
        <f t="shared" si="87"/>
        <v/>
      </c>
      <c r="DH40" s="242" t="str">
        <f t="shared" si="88"/>
        <v/>
      </c>
      <c r="DI40" s="240" t="str">
        <f t="shared" si="89"/>
        <v/>
      </c>
      <c r="DJ40" s="84" t="str">
        <f t="shared" si="90"/>
        <v/>
      </c>
      <c r="DK40" s="84" t="str">
        <f>IF(DJ40="","",IF(OR(DJ40=1,IF(ISNA(MATCH("מוגן",$I40:DJ40,0)),FALSE,TRUE)),1,0))</f>
        <v/>
      </c>
      <c r="DL40" s="241" t="str">
        <f t="shared" si="91"/>
        <v/>
      </c>
      <c r="DM40" s="241" t="str">
        <f t="shared" si="92"/>
        <v/>
      </c>
      <c r="DN40" s="242" t="str">
        <f t="shared" si="93"/>
        <v/>
      </c>
      <c r="DO40" s="240" t="str">
        <f t="shared" si="94"/>
        <v/>
      </c>
      <c r="DP40" s="84" t="str">
        <f t="shared" si="95"/>
        <v/>
      </c>
      <c r="DQ40" s="84" t="str">
        <f>IF(DP40="","",IF(OR(DP40=1,IF(ISNA(MATCH("מוגן",$I40:DP40,0)),FALSE,TRUE)),1,0))</f>
        <v/>
      </c>
      <c r="DR40" s="241" t="str">
        <f t="shared" si="96"/>
        <v/>
      </c>
      <c r="DS40" s="241" t="str">
        <f t="shared" si="97"/>
        <v/>
      </c>
      <c r="DT40" s="242" t="str">
        <f t="shared" si="98"/>
        <v/>
      </c>
      <c r="DU40" s="240" t="str">
        <f t="shared" si="99"/>
        <v/>
      </c>
      <c r="DV40" s="84" t="str">
        <f t="shared" si="100"/>
        <v/>
      </c>
      <c r="DW40" s="84" t="str">
        <f>IF(DV40="","",IF(OR(DV40=1,IF(ISNA(MATCH("מוגן",$I40:DV40,0)),FALSE,TRUE)),1,0))</f>
        <v/>
      </c>
      <c r="DX40" s="241" t="str">
        <f t="shared" si="101"/>
        <v/>
      </c>
      <c r="DY40" s="241" t="str">
        <f t="shared" si="102"/>
        <v/>
      </c>
      <c r="DZ40" s="242" t="str">
        <f t="shared" si="103"/>
        <v/>
      </c>
      <c r="EA40" s="240" t="str">
        <f t="shared" si="104"/>
        <v/>
      </c>
      <c r="EB40" s="84" t="str">
        <f t="shared" si="105"/>
        <v/>
      </c>
      <c r="EC40" s="84" t="str">
        <f>IF(EB40="","",IF(OR(EB40=1,IF(ISNA(MATCH("מוגן",$I40:EB40,0)),FALSE,TRUE)),1,0))</f>
        <v/>
      </c>
      <c r="ED40" s="241" t="str">
        <f t="shared" si="106"/>
        <v/>
      </c>
      <c r="EE40" s="241" t="str">
        <f t="shared" si="107"/>
        <v/>
      </c>
      <c r="EF40" s="242" t="str">
        <f t="shared" si="108"/>
        <v/>
      </c>
      <c r="EG40" s="240" t="str">
        <f t="shared" si="109"/>
        <v/>
      </c>
      <c r="EH40" s="84" t="str">
        <f t="shared" si="110"/>
        <v/>
      </c>
      <c r="EI40" s="84" t="str">
        <f>IF(EH40="","",IF(OR(EH40=1,IF(ISNA(MATCH("מוגן",$I40:EH40,0)),FALSE,TRUE)),1,0))</f>
        <v/>
      </c>
      <c r="EJ40" s="241" t="str">
        <f t="shared" si="111"/>
        <v/>
      </c>
      <c r="EK40" s="241" t="str">
        <f t="shared" si="112"/>
        <v/>
      </c>
      <c r="EL40" s="242" t="str">
        <f t="shared" si="113"/>
        <v/>
      </c>
      <c r="EM40" s="240" t="str">
        <f t="shared" si="114"/>
        <v/>
      </c>
      <c r="EN40" s="84" t="str">
        <f t="shared" si="115"/>
        <v/>
      </c>
      <c r="EO40" s="84" t="str">
        <f>IF(EN40="","",IF(OR(EN40=1,IF(ISNA(MATCH("מוגן",$I40:EN40,0)),FALSE,TRUE)),1,0))</f>
        <v/>
      </c>
      <c r="EP40" s="241" t="str">
        <f t="shared" si="116"/>
        <v/>
      </c>
      <c r="EQ40" s="241" t="str">
        <f t="shared" si="117"/>
        <v/>
      </c>
      <c r="ER40" s="242" t="str">
        <f t="shared" si="118"/>
        <v/>
      </c>
      <c r="ES40" s="240" t="str">
        <f t="shared" si="119"/>
        <v/>
      </c>
      <c r="ET40" s="84" t="str">
        <f t="shared" si="120"/>
        <v/>
      </c>
      <c r="EU40" s="84" t="str">
        <f>IF(ET40="","",IF(OR(ET40=1,IF(ISNA(MATCH("מוגן",$I40:ET40,0)),FALSE,TRUE)),1,0))</f>
        <v/>
      </c>
      <c r="EV40" s="241" t="str">
        <f t="shared" si="121"/>
        <v/>
      </c>
      <c r="EW40" s="241" t="str">
        <f t="shared" si="122"/>
        <v/>
      </c>
      <c r="EX40" s="242" t="str">
        <f t="shared" si="123"/>
        <v/>
      </c>
      <c r="EY40" s="240" t="str">
        <f t="shared" si="124"/>
        <v/>
      </c>
      <c r="EZ40" s="84" t="str">
        <f t="shared" si="125"/>
        <v/>
      </c>
      <c r="FA40" s="84" t="str">
        <f>IF(EZ40="","",IF(OR(EZ40=1,IF(ISNA(MATCH("מוגן",$I40:EZ40,0)),FALSE,TRUE)),1,0))</f>
        <v/>
      </c>
      <c r="FB40" s="241" t="str">
        <f t="shared" si="126"/>
        <v/>
      </c>
      <c r="FC40" s="241" t="str">
        <f t="shared" si="127"/>
        <v/>
      </c>
      <c r="FD40" s="242" t="str">
        <f t="shared" si="128"/>
        <v/>
      </c>
      <c r="FE40" s="240" t="str">
        <f t="shared" si="129"/>
        <v/>
      </c>
      <c r="FF40" s="84" t="str">
        <f t="shared" si="130"/>
        <v/>
      </c>
      <c r="FG40" s="84" t="str">
        <f>IF(FF40="","",IF(OR(FF40=1,IF(ISNA(MATCH("מוגן",$I40:FF40,0)),FALSE,TRUE)),1,0))</f>
        <v/>
      </c>
      <c r="FH40" s="241" t="str">
        <f t="shared" si="131"/>
        <v/>
      </c>
      <c r="FI40" s="241" t="str">
        <f t="shared" si="132"/>
        <v/>
      </c>
      <c r="FJ40" s="242" t="str">
        <f t="shared" si="133"/>
        <v/>
      </c>
      <c r="FK40" s="240" t="str">
        <f t="shared" si="134"/>
        <v/>
      </c>
      <c r="FL40" s="84" t="str">
        <f t="shared" si="135"/>
        <v/>
      </c>
      <c r="FM40" s="84" t="str">
        <f>IF(FL40="","",IF(OR(FL40=1,IF(ISNA(MATCH("מוגן",$I40:FL40,0)),FALSE,TRUE)),1,0))</f>
        <v/>
      </c>
      <c r="FN40" s="241" t="str">
        <f t="shared" si="136"/>
        <v/>
      </c>
      <c r="FO40" s="241" t="str">
        <f t="shared" si="137"/>
        <v/>
      </c>
      <c r="FP40" s="242" t="str">
        <f t="shared" si="138"/>
        <v/>
      </c>
      <c r="FQ40" s="240" t="str">
        <f t="shared" si="139"/>
        <v/>
      </c>
      <c r="FR40" s="84" t="str">
        <f t="shared" si="140"/>
        <v/>
      </c>
      <c r="FS40" s="84" t="str">
        <f>IF(FR40="","",IF(OR(FR40=1,IF(ISNA(MATCH("מוגן",$I40:FR40,0)),FALSE,TRUE)),1,0))</f>
        <v/>
      </c>
      <c r="FT40" s="241" t="str">
        <f t="shared" si="141"/>
        <v/>
      </c>
      <c r="FU40" s="241" t="str">
        <f t="shared" si="142"/>
        <v/>
      </c>
      <c r="FV40" s="242" t="str">
        <f t="shared" si="143"/>
        <v/>
      </c>
      <c r="FW40" s="240" t="str">
        <f t="shared" si="144"/>
        <v/>
      </c>
      <c r="FX40" s="84" t="str">
        <f t="shared" si="145"/>
        <v/>
      </c>
      <c r="FY40" s="84" t="str">
        <f>IF(FX40="","",IF(OR(FX40=1,IF(ISNA(MATCH("מוגן",$I40:FX40,0)),FALSE,TRUE)),1,0))</f>
        <v/>
      </c>
      <c r="FZ40" s="241" t="str">
        <f t="shared" si="146"/>
        <v/>
      </c>
      <c r="GA40" s="241" t="str">
        <f t="shared" si="147"/>
        <v/>
      </c>
      <c r="GB40" s="242" t="str">
        <f t="shared" si="148"/>
        <v/>
      </c>
      <c r="GC40" s="240" t="str">
        <f t="shared" si="149"/>
        <v/>
      </c>
      <c r="GD40" s="84" t="str">
        <f t="shared" si="150"/>
        <v/>
      </c>
      <c r="GE40" s="84" t="str">
        <f>IF(GD40="","",IF(OR(GD40=1,IF(ISNA(MATCH("מוגן",$I40:GD40,0)),FALSE,TRUE)),1,0))</f>
        <v/>
      </c>
      <c r="GF40" s="241" t="str">
        <f t="shared" si="151"/>
        <v/>
      </c>
      <c r="GG40" s="241" t="str">
        <f t="shared" si="152"/>
        <v/>
      </c>
      <c r="GH40" s="242" t="str">
        <f t="shared" si="153"/>
        <v/>
      </c>
      <c r="GI40" s="240" t="str">
        <f t="shared" si="154"/>
        <v/>
      </c>
      <c r="GJ40" s="84" t="str">
        <f t="shared" si="155"/>
        <v/>
      </c>
      <c r="GK40" s="84" t="str">
        <f>IF(GJ40="","",IF(OR(GJ40=1,IF(ISNA(MATCH("מוגן",$I40:GJ40,0)),FALSE,TRUE)),1,0))</f>
        <v/>
      </c>
      <c r="GL40" s="241" t="str">
        <f t="shared" si="156"/>
        <v/>
      </c>
      <c r="GM40" s="241" t="str">
        <f t="shared" si="157"/>
        <v/>
      </c>
      <c r="GN40" s="242" t="str">
        <f t="shared" si="158"/>
        <v/>
      </c>
      <c r="GO40" s="240" t="str">
        <f t="shared" si="159"/>
        <v/>
      </c>
      <c r="GP40" s="84" t="str">
        <f t="shared" si="160"/>
        <v/>
      </c>
      <c r="GQ40" s="84" t="str">
        <f>IF(GP40="","",IF(OR(GP40=1,IF(ISNA(MATCH("מוגן",$I40:GP40,0)),FALSE,TRUE)),1,0))</f>
        <v/>
      </c>
      <c r="GR40" s="241" t="str">
        <f t="shared" si="161"/>
        <v/>
      </c>
      <c r="GS40" s="241" t="str">
        <f t="shared" si="162"/>
        <v/>
      </c>
      <c r="GT40" s="242" t="str">
        <f t="shared" si="163"/>
        <v/>
      </c>
      <c r="GU40" s="240" t="str">
        <f t="shared" si="164"/>
        <v/>
      </c>
      <c r="GV40" s="84" t="str">
        <f t="shared" si="165"/>
        <v/>
      </c>
      <c r="GW40" s="84" t="str">
        <f>IF(GV40="","",IF(OR(GV40=1,IF(ISNA(MATCH("מוגן",$I40:GV40,0)),FALSE,TRUE)),1,0))</f>
        <v/>
      </c>
      <c r="GX40" s="241" t="str">
        <f t="shared" si="166"/>
        <v/>
      </c>
      <c r="GY40" s="241" t="str">
        <f t="shared" si="167"/>
        <v/>
      </c>
      <c r="GZ40" s="242" t="str">
        <f t="shared" si="168"/>
        <v/>
      </c>
      <c r="HA40" s="119" t="str">
        <f t="shared" si="169"/>
        <v/>
      </c>
      <c r="HB40" s="246" t="str">
        <f t="shared" si="170"/>
        <v>OK</v>
      </c>
      <c r="HC40" s="244" t="str">
        <f t="shared" si="171"/>
        <v/>
      </c>
      <c r="HD40" s="245" t="str">
        <f t="shared" si="172"/>
        <v/>
      </c>
      <c r="HE40" s="111" t="str">
        <f t="shared" si="173"/>
        <v/>
      </c>
      <c r="HF40" s="111" t="str">
        <f t="shared" si="174"/>
        <v/>
      </c>
      <c r="HG40" s="111" t="b">
        <f>OR(B40="",ISNA(MATCH(C40,{0,1},0)))</f>
        <v>1</v>
      </c>
    </row>
    <row r="41" spans="1:215" ht="13.5" thickBot="1">
      <c r="A41" s="120">
        <f>ייצוב!A37</f>
        <v>33</v>
      </c>
      <c r="B41" s="121" t="str">
        <f>ייצוב!B37</f>
        <v/>
      </c>
      <c r="C41" s="67"/>
      <c r="D41" s="240" t="str">
        <f>ייצוב!E37</f>
        <v/>
      </c>
      <c r="E41" s="240" t="str">
        <f>ייצוב!G37</f>
        <v/>
      </c>
      <c r="F41" s="240" t="str">
        <f t="shared" si="0"/>
        <v/>
      </c>
      <c r="G41" s="84" t="str">
        <f t="shared" si="1"/>
        <v/>
      </c>
      <c r="H41" s="241" t="str">
        <f t="shared" si="2"/>
        <v/>
      </c>
      <c r="I41" s="241" t="str">
        <f t="array" ref="I41">IF(H41="","",IF(G41=1,"מוגן",H41/SUMIF(G$9:G$41,"=0",H$9:H$41)))</f>
        <v/>
      </c>
      <c r="J41" s="242" t="str">
        <f t="shared" si="3"/>
        <v/>
      </c>
      <c r="K41" s="240" t="str">
        <f t="shared" si="4"/>
        <v/>
      </c>
      <c r="L41" s="84" t="str">
        <f t="shared" si="5"/>
        <v/>
      </c>
      <c r="M41" s="84" t="str">
        <f>IF(L41="","",IF(OR(L41=1,IF(ISNA(MATCH("מוגן",$I41:L41,0)),FALSE,TRUE)),1,0))</f>
        <v/>
      </c>
      <c r="N41" s="241" t="str">
        <f t="shared" si="6"/>
        <v/>
      </c>
      <c r="O41" s="241" t="str">
        <f t="shared" si="7"/>
        <v/>
      </c>
      <c r="P41" s="242" t="str">
        <f t="shared" si="8"/>
        <v/>
      </c>
      <c r="Q41" s="240" t="str">
        <f t="shared" si="9"/>
        <v/>
      </c>
      <c r="R41" s="84" t="str">
        <f t="shared" si="10"/>
        <v/>
      </c>
      <c r="S41" s="84" t="str">
        <f>IF(R41="","",IF(OR(R41=1,IF(ISNA(MATCH("מוגן",$I41:R41,0)),FALSE,TRUE)),1,0))</f>
        <v/>
      </c>
      <c r="T41" s="241" t="str">
        <f t="shared" si="11"/>
        <v/>
      </c>
      <c r="U41" s="241" t="str">
        <f t="shared" si="12"/>
        <v/>
      </c>
      <c r="V41" s="242" t="str">
        <f t="shared" si="13"/>
        <v/>
      </c>
      <c r="W41" s="240" t="str">
        <f t="shared" si="14"/>
        <v/>
      </c>
      <c r="X41" s="84" t="str">
        <f t="shared" si="15"/>
        <v/>
      </c>
      <c r="Y41" s="84" t="str">
        <f>IF(X41="","",IF(OR(X41=1,IF(ISNA(MATCH("מוגן",$I41:X41,0)),FALSE,TRUE)),1,0))</f>
        <v/>
      </c>
      <c r="Z41" s="241" t="str">
        <f t="shared" si="16"/>
        <v/>
      </c>
      <c r="AA41" s="241" t="str">
        <f t="shared" si="17"/>
        <v/>
      </c>
      <c r="AB41" s="242" t="str">
        <f t="shared" si="18"/>
        <v/>
      </c>
      <c r="AC41" s="240" t="str">
        <f t="shared" si="19"/>
        <v/>
      </c>
      <c r="AD41" s="84" t="str">
        <f t="shared" si="20"/>
        <v/>
      </c>
      <c r="AE41" s="84" t="str">
        <f>IF(AD41="","",IF(OR(AD41=1,IF(ISNA(MATCH("מוגן",$I41:AD41,0)),FALSE,TRUE)),1,0))</f>
        <v/>
      </c>
      <c r="AF41" s="241" t="str">
        <f t="shared" si="21"/>
        <v/>
      </c>
      <c r="AG41" s="241" t="str">
        <f t="shared" si="22"/>
        <v/>
      </c>
      <c r="AH41" s="242" t="str">
        <f t="shared" si="23"/>
        <v/>
      </c>
      <c r="AI41" s="240" t="str">
        <f t="shared" si="24"/>
        <v/>
      </c>
      <c r="AJ41" s="84" t="str">
        <f t="shared" si="25"/>
        <v/>
      </c>
      <c r="AK41" s="84" t="str">
        <f>IF(AJ41="","",IF(OR(AJ41=1,IF(ISNA(MATCH("מוגן",$I41:AJ41,0)),FALSE,TRUE)),1,0))</f>
        <v/>
      </c>
      <c r="AL41" s="241" t="str">
        <f t="shared" si="26"/>
        <v/>
      </c>
      <c r="AM41" s="241" t="str">
        <f t="shared" si="27"/>
        <v/>
      </c>
      <c r="AN41" s="242" t="str">
        <f t="shared" si="28"/>
        <v/>
      </c>
      <c r="AO41" s="240" t="str">
        <f t="shared" si="29"/>
        <v/>
      </c>
      <c r="AP41" s="84" t="str">
        <f t="shared" si="30"/>
        <v/>
      </c>
      <c r="AQ41" s="84" t="str">
        <f>IF(AP41="","",IF(OR(AP41=1,IF(ISNA(MATCH("מוגן",$I41:AP41,0)),FALSE,TRUE)),1,0))</f>
        <v/>
      </c>
      <c r="AR41" s="241" t="str">
        <f t="shared" si="31"/>
        <v/>
      </c>
      <c r="AS41" s="241" t="str">
        <f t="shared" si="32"/>
        <v/>
      </c>
      <c r="AT41" s="242" t="str">
        <f t="shared" si="33"/>
        <v/>
      </c>
      <c r="AU41" s="240" t="str">
        <f t="shared" si="34"/>
        <v/>
      </c>
      <c r="AV41" s="84" t="str">
        <f t="shared" si="35"/>
        <v/>
      </c>
      <c r="AW41" s="84" t="str">
        <f>IF(AV41="","",IF(OR(AV41=1,IF(ISNA(MATCH("מוגן",$I41:AV41,0)),FALSE,TRUE)),1,0))</f>
        <v/>
      </c>
      <c r="AX41" s="241" t="str">
        <f t="shared" si="36"/>
        <v/>
      </c>
      <c r="AY41" s="241" t="str">
        <f t="shared" si="37"/>
        <v/>
      </c>
      <c r="AZ41" s="242" t="str">
        <f t="shared" si="38"/>
        <v/>
      </c>
      <c r="BA41" s="240" t="str">
        <f t="shared" si="39"/>
        <v/>
      </c>
      <c r="BB41" s="84" t="str">
        <f t="shared" si="40"/>
        <v/>
      </c>
      <c r="BC41" s="84" t="str">
        <f>IF(BB41="","",IF(OR(BB41=1,IF(ISNA(MATCH("מוגן",$I41:BB41,0)),FALSE,TRUE)),1,0))</f>
        <v/>
      </c>
      <c r="BD41" s="241" t="str">
        <f t="shared" si="41"/>
        <v/>
      </c>
      <c r="BE41" s="241" t="str">
        <f t="shared" si="42"/>
        <v/>
      </c>
      <c r="BF41" s="242" t="str">
        <f t="shared" si="43"/>
        <v/>
      </c>
      <c r="BG41" s="240" t="str">
        <f t="shared" si="44"/>
        <v/>
      </c>
      <c r="BH41" s="84" t="str">
        <f t="shared" si="45"/>
        <v/>
      </c>
      <c r="BI41" s="84" t="str">
        <f>IF(BH41="","",IF(OR(BH41=1,IF(ISNA(MATCH("מוגן",$I41:BH41,0)),FALSE,TRUE)),1,0))</f>
        <v/>
      </c>
      <c r="BJ41" s="241" t="str">
        <f t="shared" si="46"/>
        <v/>
      </c>
      <c r="BK41" s="241" t="str">
        <f t="shared" si="47"/>
        <v/>
      </c>
      <c r="BL41" s="242" t="str">
        <f t="shared" si="48"/>
        <v/>
      </c>
      <c r="BM41" s="240" t="str">
        <f t="shared" si="49"/>
        <v/>
      </c>
      <c r="BN41" s="84" t="str">
        <f t="shared" si="50"/>
        <v/>
      </c>
      <c r="BO41" s="84" t="str">
        <f>IF(BN41="","",IF(OR(BN41=1,IF(ISNA(MATCH("מוגן",$I41:BN41,0)),FALSE,TRUE)),1,0))</f>
        <v/>
      </c>
      <c r="BP41" s="241" t="str">
        <f t="shared" si="51"/>
        <v/>
      </c>
      <c r="BQ41" s="241" t="str">
        <f t="shared" si="52"/>
        <v/>
      </c>
      <c r="BR41" s="242" t="str">
        <f t="shared" si="53"/>
        <v/>
      </c>
      <c r="BS41" s="240" t="str">
        <f t="shared" si="54"/>
        <v/>
      </c>
      <c r="BT41" s="84" t="str">
        <f t="shared" si="55"/>
        <v/>
      </c>
      <c r="BU41" s="84" t="str">
        <f>IF(BT41="","",IF(OR(BT41=1,IF(ISNA(MATCH("מוגן",$I41:BT41,0)),FALSE,TRUE)),1,0))</f>
        <v/>
      </c>
      <c r="BV41" s="241" t="str">
        <f t="shared" si="56"/>
        <v/>
      </c>
      <c r="BW41" s="241" t="str">
        <f t="shared" si="57"/>
        <v/>
      </c>
      <c r="BX41" s="242" t="str">
        <f t="shared" si="58"/>
        <v/>
      </c>
      <c r="BY41" s="240" t="str">
        <f t="shared" si="59"/>
        <v/>
      </c>
      <c r="BZ41" s="84" t="str">
        <f t="shared" si="60"/>
        <v/>
      </c>
      <c r="CA41" s="84" t="str">
        <f>IF(BZ41="","",IF(OR(BZ41=1,IF(ISNA(MATCH("מוגן",$I41:BZ41,0)),FALSE,TRUE)),1,0))</f>
        <v/>
      </c>
      <c r="CB41" s="241" t="str">
        <f t="shared" si="61"/>
        <v/>
      </c>
      <c r="CC41" s="241" t="str">
        <f t="shared" si="62"/>
        <v/>
      </c>
      <c r="CD41" s="242" t="str">
        <f t="shared" si="63"/>
        <v/>
      </c>
      <c r="CE41" s="240" t="str">
        <f t="shared" si="64"/>
        <v/>
      </c>
      <c r="CF41" s="84" t="str">
        <f t="shared" si="65"/>
        <v/>
      </c>
      <c r="CG41" s="84" t="str">
        <f>IF(CF41="","",IF(OR(CF41=1,IF(ISNA(MATCH("מוגן",$I41:CF41,0)),FALSE,TRUE)),1,0))</f>
        <v/>
      </c>
      <c r="CH41" s="241" t="str">
        <f t="shared" si="66"/>
        <v/>
      </c>
      <c r="CI41" s="241" t="str">
        <f t="shared" si="67"/>
        <v/>
      </c>
      <c r="CJ41" s="242" t="str">
        <f t="shared" si="68"/>
        <v/>
      </c>
      <c r="CK41" s="240" t="str">
        <f t="shared" si="69"/>
        <v/>
      </c>
      <c r="CL41" s="84" t="str">
        <f t="shared" si="70"/>
        <v/>
      </c>
      <c r="CM41" s="84" t="str">
        <f>IF(CL41="","",IF(OR(CL41=1,IF(ISNA(MATCH("מוגן",$I41:CL41,0)),FALSE,TRUE)),1,0))</f>
        <v/>
      </c>
      <c r="CN41" s="241" t="str">
        <f t="shared" si="71"/>
        <v/>
      </c>
      <c r="CO41" s="241" t="str">
        <f t="shared" si="72"/>
        <v/>
      </c>
      <c r="CP41" s="242" t="str">
        <f t="shared" si="73"/>
        <v/>
      </c>
      <c r="CQ41" s="240" t="str">
        <f t="shared" si="74"/>
        <v/>
      </c>
      <c r="CR41" s="84" t="str">
        <f t="shared" si="75"/>
        <v/>
      </c>
      <c r="CS41" s="84" t="str">
        <f>IF(CR41="","",IF(OR(CR41=1,IF(ISNA(MATCH("מוגן",$I41:CR41,0)),FALSE,TRUE)),1,0))</f>
        <v/>
      </c>
      <c r="CT41" s="241" t="str">
        <f t="shared" si="76"/>
        <v/>
      </c>
      <c r="CU41" s="241" t="str">
        <f t="shared" si="77"/>
        <v/>
      </c>
      <c r="CV41" s="242" t="str">
        <f t="shared" si="78"/>
        <v/>
      </c>
      <c r="CW41" s="240" t="str">
        <f t="shared" si="79"/>
        <v/>
      </c>
      <c r="CX41" s="84" t="str">
        <f t="shared" si="80"/>
        <v/>
      </c>
      <c r="CY41" s="84" t="str">
        <f>IF(CX41="","",IF(OR(CX41=1,IF(ISNA(MATCH("מוגן",$I41:CX41,0)),FALSE,TRUE)),1,0))</f>
        <v/>
      </c>
      <c r="CZ41" s="241" t="str">
        <f t="shared" si="81"/>
        <v/>
      </c>
      <c r="DA41" s="241" t="str">
        <f t="shared" si="82"/>
        <v/>
      </c>
      <c r="DB41" s="242" t="str">
        <f t="shared" si="83"/>
        <v/>
      </c>
      <c r="DC41" s="240" t="str">
        <f t="shared" si="84"/>
        <v/>
      </c>
      <c r="DD41" s="84" t="str">
        <f t="shared" si="85"/>
        <v/>
      </c>
      <c r="DE41" s="84" t="str">
        <f>IF(DD41="","",IF(OR(DD41=1,IF(ISNA(MATCH("מוגן",$I41:DD41,0)),FALSE,TRUE)),1,0))</f>
        <v/>
      </c>
      <c r="DF41" s="241" t="str">
        <f t="shared" si="86"/>
        <v/>
      </c>
      <c r="DG41" s="241" t="str">
        <f t="shared" si="87"/>
        <v/>
      </c>
      <c r="DH41" s="242" t="str">
        <f t="shared" si="88"/>
        <v/>
      </c>
      <c r="DI41" s="240" t="str">
        <f t="shared" si="89"/>
        <v/>
      </c>
      <c r="DJ41" s="84" t="str">
        <f t="shared" si="90"/>
        <v/>
      </c>
      <c r="DK41" s="84" t="str">
        <f>IF(DJ41="","",IF(OR(DJ41=1,IF(ISNA(MATCH("מוגן",$I41:DJ41,0)),FALSE,TRUE)),1,0))</f>
        <v/>
      </c>
      <c r="DL41" s="241" t="str">
        <f t="shared" si="91"/>
        <v/>
      </c>
      <c r="DM41" s="241" t="str">
        <f t="shared" si="92"/>
        <v/>
      </c>
      <c r="DN41" s="242" t="str">
        <f t="shared" si="93"/>
        <v/>
      </c>
      <c r="DO41" s="240" t="str">
        <f t="shared" si="94"/>
        <v/>
      </c>
      <c r="DP41" s="84" t="str">
        <f t="shared" si="95"/>
        <v/>
      </c>
      <c r="DQ41" s="84" t="str">
        <f>IF(DP41="","",IF(OR(DP41=1,IF(ISNA(MATCH("מוגן",$I41:DP41,0)),FALSE,TRUE)),1,0))</f>
        <v/>
      </c>
      <c r="DR41" s="241" t="str">
        <f t="shared" si="96"/>
        <v/>
      </c>
      <c r="DS41" s="241" t="str">
        <f t="shared" si="97"/>
        <v/>
      </c>
      <c r="DT41" s="242" t="str">
        <f t="shared" si="98"/>
        <v/>
      </c>
      <c r="DU41" s="240" t="str">
        <f t="shared" si="99"/>
        <v/>
      </c>
      <c r="DV41" s="84" t="str">
        <f t="shared" si="100"/>
        <v/>
      </c>
      <c r="DW41" s="84" t="str">
        <f>IF(DV41="","",IF(OR(DV41=1,IF(ISNA(MATCH("מוגן",$I41:DV41,0)),FALSE,TRUE)),1,0))</f>
        <v/>
      </c>
      <c r="DX41" s="241" t="str">
        <f t="shared" si="101"/>
        <v/>
      </c>
      <c r="DY41" s="241" t="str">
        <f t="shared" si="102"/>
        <v/>
      </c>
      <c r="DZ41" s="242" t="str">
        <f t="shared" si="103"/>
        <v/>
      </c>
      <c r="EA41" s="240" t="str">
        <f t="shared" si="104"/>
        <v/>
      </c>
      <c r="EB41" s="84" t="str">
        <f t="shared" si="105"/>
        <v/>
      </c>
      <c r="EC41" s="84" t="str">
        <f>IF(EB41="","",IF(OR(EB41=1,IF(ISNA(MATCH("מוגן",$I41:EB41,0)),FALSE,TRUE)),1,0))</f>
        <v/>
      </c>
      <c r="ED41" s="241" t="str">
        <f t="shared" si="106"/>
        <v/>
      </c>
      <c r="EE41" s="241" t="str">
        <f t="shared" si="107"/>
        <v/>
      </c>
      <c r="EF41" s="242" t="str">
        <f t="shared" si="108"/>
        <v/>
      </c>
      <c r="EG41" s="240" t="str">
        <f t="shared" si="109"/>
        <v/>
      </c>
      <c r="EH41" s="84" t="str">
        <f t="shared" si="110"/>
        <v/>
      </c>
      <c r="EI41" s="84" t="str">
        <f>IF(EH41="","",IF(OR(EH41=1,IF(ISNA(MATCH("מוגן",$I41:EH41,0)),FALSE,TRUE)),1,0))</f>
        <v/>
      </c>
      <c r="EJ41" s="241" t="str">
        <f t="shared" si="111"/>
        <v/>
      </c>
      <c r="EK41" s="241" t="str">
        <f t="shared" si="112"/>
        <v/>
      </c>
      <c r="EL41" s="242" t="str">
        <f t="shared" si="113"/>
        <v/>
      </c>
      <c r="EM41" s="240" t="str">
        <f t="shared" si="114"/>
        <v/>
      </c>
      <c r="EN41" s="84" t="str">
        <f t="shared" si="115"/>
        <v/>
      </c>
      <c r="EO41" s="84" t="str">
        <f>IF(EN41="","",IF(OR(EN41=1,IF(ISNA(MATCH("מוגן",$I41:EN41,0)),FALSE,TRUE)),1,0))</f>
        <v/>
      </c>
      <c r="EP41" s="241" t="str">
        <f t="shared" si="116"/>
        <v/>
      </c>
      <c r="EQ41" s="241" t="str">
        <f t="shared" si="117"/>
        <v/>
      </c>
      <c r="ER41" s="242" t="str">
        <f t="shared" si="118"/>
        <v/>
      </c>
      <c r="ES41" s="240" t="str">
        <f t="shared" si="119"/>
        <v/>
      </c>
      <c r="ET41" s="84" t="str">
        <f t="shared" si="120"/>
        <v/>
      </c>
      <c r="EU41" s="84" t="str">
        <f>IF(ET41="","",IF(OR(ET41=1,IF(ISNA(MATCH("מוגן",$I41:ET41,0)),FALSE,TRUE)),1,0))</f>
        <v/>
      </c>
      <c r="EV41" s="241" t="str">
        <f t="shared" si="121"/>
        <v/>
      </c>
      <c r="EW41" s="241" t="str">
        <f t="shared" si="122"/>
        <v/>
      </c>
      <c r="EX41" s="242" t="str">
        <f t="shared" si="123"/>
        <v/>
      </c>
      <c r="EY41" s="240" t="str">
        <f t="shared" si="124"/>
        <v/>
      </c>
      <c r="EZ41" s="84" t="str">
        <f t="shared" si="125"/>
        <v/>
      </c>
      <c r="FA41" s="84" t="str">
        <f>IF(EZ41="","",IF(OR(EZ41=1,IF(ISNA(MATCH("מוגן",$I41:EZ41,0)),FALSE,TRUE)),1,0))</f>
        <v/>
      </c>
      <c r="FB41" s="241" t="str">
        <f t="shared" si="126"/>
        <v/>
      </c>
      <c r="FC41" s="241" t="str">
        <f t="shared" si="127"/>
        <v/>
      </c>
      <c r="FD41" s="242" t="str">
        <f t="shared" si="128"/>
        <v/>
      </c>
      <c r="FE41" s="240" t="str">
        <f t="shared" si="129"/>
        <v/>
      </c>
      <c r="FF41" s="84" t="str">
        <f t="shared" si="130"/>
        <v/>
      </c>
      <c r="FG41" s="84" t="str">
        <f>IF(FF41="","",IF(OR(FF41=1,IF(ISNA(MATCH("מוגן",$I41:FF41,0)),FALSE,TRUE)),1,0))</f>
        <v/>
      </c>
      <c r="FH41" s="241" t="str">
        <f t="shared" si="131"/>
        <v/>
      </c>
      <c r="FI41" s="241" t="str">
        <f t="shared" si="132"/>
        <v/>
      </c>
      <c r="FJ41" s="242" t="str">
        <f t="shared" si="133"/>
        <v/>
      </c>
      <c r="FK41" s="240" t="str">
        <f t="shared" si="134"/>
        <v/>
      </c>
      <c r="FL41" s="84" t="str">
        <f t="shared" si="135"/>
        <v/>
      </c>
      <c r="FM41" s="84" t="str">
        <f>IF(FL41="","",IF(OR(FL41=1,IF(ISNA(MATCH("מוגן",$I41:FL41,0)),FALSE,TRUE)),1,0))</f>
        <v/>
      </c>
      <c r="FN41" s="241" t="str">
        <f t="shared" si="136"/>
        <v/>
      </c>
      <c r="FO41" s="241" t="str">
        <f t="shared" si="137"/>
        <v/>
      </c>
      <c r="FP41" s="242" t="str">
        <f t="shared" si="138"/>
        <v/>
      </c>
      <c r="FQ41" s="240" t="str">
        <f t="shared" si="139"/>
        <v/>
      </c>
      <c r="FR41" s="84" t="str">
        <f t="shared" si="140"/>
        <v/>
      </c>
      <c r="FS41" s="84" t="str">
        <f>IF(FR41="","",IF(OR(FR41=1,IF(ISNA(MATCH("מוגן",$I41:FR41,0)),FALSE,TRUE)),1,0))</f>
        <v/>
      </c>
      <c r="FT41" s="241" t="str">
        <f t="shared" si="141"/>
        <v/>
      </c>
      <c r="FU41" s="241" t="str">
        <f t="shared" si="142"/>
        <v/>
      </c>
      <c r="FV41" s="242" t="str">
        <f t="shared" si="143"/>
        <v/>
      </c>
      <c r="FW41" s="240" t="str">
        <f t="shared" si="144"/>
        <v/>
      </c>
      <c r="FX41" s="84" t="str">
        <f t="shared" si="145"/>
        <v/>
      </c>
      <c r="FY41" s="84" t="str">
        <f>IF(FX41="","",IF(OR(FX41=1,IF(ISNA(MATCH("מוגן",$I41:FX41,0)),FALSE,TRUE)),1,0))</f>
        <v/>
      </c>
      <c r="FZ41" s="241" t="str">
        <f t="shared" si="146"/>
        <v/>
      </c>
      <c r="GA41" s="241" t="str">
        <f t="shared" si="147"/>
        <v/>
      </c>
      <c r="GB41" s="242" t="str">
        <f t="shared" si="148"/>
        <v/>
      </c>
      <c r="GC41" s="240" t="str">
        <f t="shared" si="149"/>
        <v/>
      </c>
      <c r="GD41" s="84" t="str">
        <f t="shared" si="150"/>
        <v/>
      </c>
      <c r="GE41" s="84" t="str">
        <f>IF(GD41="","",IF(OR(GD41=1,IF(ISNA(MATCH("מוגן",$I41:GD41,0)),FALSE,TRUE)),1,0))</f>
        <v/>
      </c>
      <c r="GF41" s="241" t="str">
        <f t="shared" si="151"/>
        <v/>
      </c>
      <c r="GG41" s="241" t="str">
        <f t="shared" si="152"/>
        <v/>
      </c>
      <c r="GH41" s="242" t="str">
        <f t="shared" si="153"/>
        <v/>
      </c>
      <c r="GI41" s="240" t="str">
        <f t="shared" si="154"/>
        <v/>
      </c>
      <c r="GJ41" s="84" t="str">
        <f t="shared" si="155"/>
        <v/>
      </c>
      <c r="GK41" s="84" t="str">
        <f>IF(GJ41="","",IF(OR(GJ41=1,IF(ISNA(MATCH("מוגן",$I41:GJ41,0)),FALSE,TRUE)),1,0))</f>
        <v/>
      </c>
      <c r="GL41" s="241" t="str">
        <f t="shared" si="156"/>
        <v/>
      </c>
      <c r="GM41" s="241" t="str">
        <f t="shared" si="157"/>
        <v/>
      </c>
      <c r="GN41" s="242" t="str">
        <f t="shared" si="158"/>
        <v/>
      </c>
      <c r="GO41" s="240" t="str">
        <f t="shared" si="159"/>
        <v/>
      </c>
      <c r="GP41" s="84" t="str">
        <f t="shared" si="160"/>
        <v/>
      </c>
      <c r="GQ41" s="84" t="str">
        <f>IF(GP41="","",IF(OR(GP41=1,IF(ISNA(MATCH("מוגן",$I41:GP41,0)),FALSE,TRUE)),1,0))</f>
        <v/>
      </c>
      <c r="GR41" s="241" t="str">
        <f t="shared" si="161"/>
        <v/>
      </c>
      <c r="GS41" s="241" t="str">
        <f t="shared" si="162"/>
        <v/>
      </c>
      <c r="GT41" s="242" t="str">
        <f t="shared" si="163"/>
        <v/>
      </c>
      <c r="GU41" s="240" t="str">
        <f t="shared" si="164"/>
        <v/>
      </c>
      <c r="GV41" s="84" t="str">
        <f t="shared" si="165"/>
        <v/>
      </c>
      <c r="GW41" s="84" t="str">
        <f>IF(GV41="","",IF(OR(GV41=1,IF(ISNA(MATCH("מוגן",$I41:GV41,0)),FALSE,TRUE)),1,0))</f>
        <v/>
      </c>
      <c r="GX41" s="241" t="str">
        <f t="shared" si="166"/>
        <v/>
      </c>
      <c r="GY41" s="241" t="str">
        <f t="shared" si="167"/>
        <v/>
      </c>
      <c r="GZ41" s="242" t="str">
        <f t="shared" si="168"/>
        <v/>
      </c>
      <c r="HA41" s="119" t="str">
        <f t="shared" si="169"/>
        <v/>
      </c>
      <c r="HB41" s="247" t="str">
        <f t="shared" si="170"/>
        <v>OK</v>
      </c>
      <c r="HC41" s="244" t="str">
        <f t="shared" si="171"/>
        <v/>
      </c>
      <c r="HD41" s="248" t="str">
        <f t="shared" si="172"/>
        <v/>
      </c>
      <c r="HE41" s="111" t="str">
        <f t="shared" si="173"/>
        <v/>
      </c>
      <c r="HF41" s="111" t="str">
        <f t="shared" si="174"/>
        <v/>
      </c>
      <c r="HG41" s="111" t="b">
        <f>OR(B41="",ISNA(MATCH(C41,{0,1},0)))</f>
        <v>1</v>
      </c>
    </row>
    <row r="42" spans="1:215" ht="14.25" thickTop="1" thickBot="1">
      <c r="A42" s="674" t="s">
        <v>26</v>
      </c>
      <c r="B42" s="675"/>
      <c r="C42" s="675"/>
      <c r="D42" s="249">
        <f t="shared" ref="D42:J42" si="175">SUM(D9:D41)</f>
        <v>1</v>
      </c>
      <c r="E42" s="249">
        <f t="shared" si="175"/>
        <v>1</v>
      </c>
      <c r="F42" s="261">
        <f>AVERAGE(F9:F41)</f>
        <v>1.0109375167239667</v>
      </c>
      <c r="G42" s="250">
        <f t="shared" si="175"/>
        <v>0</v>
      </c>
      <c r="H42" s="249">
        <f t="shared" si="175"/>
        <v>1</v>
      </c>
      <c r="I42" s="251">
        <f t="shared" si="175"/>
        <v>1</v>
      </c>
      <c r="J42" s="251">
        <f t="shared" si="175"/>
        <v>1</v>
      </c>
      <c r="K42" s="252"/>
      <c r="L42" s="250">
        <f>SUM(L9:L41)</f>
        <v>0</v>
      </c>
      <c r="M42" s="250">
        <f>SUM(M9:M41)</f>
        <v>0</v>
      </c>
      <c r="N42" s="249">
        <f>SUM(N9:N41)</f>
        <v>1</v>
      </c>
      <c r="O42" s="251">
        <f>SUM(O9:O41)</f>
        <v>0</v>
      </c>
      <c r="P42" s="251">
        <f>SUM(P9:P41)</f>
        <v>1</v>
      </c>
      <c r="Q42" s="252"/>
      <c r="R42" s="250">
        <f>SUM(R9:R41)</f>
        <v>0</v>
      </c>
      <c r="S42" s="250">
        <f>SUM(S9:S41)</f>
        <v>0</v>
      </c>
      <c r="T42" s="249">
        <f>SUM(T9:T41)</f>
        <v>1</v>
      </c>
      <c r="U42" s="251">
        <f>SUM(U9:U41)</f>
        <v>0</v>
      </c>
      <c r="V42" s="251">
        <f>SUM(V9:V41)</f>
        <v>1</v>
      </c>
      <c r="W42" s="252"/>
      <c r="X42" s="250">
        <f>SUM(X9:X41)</f>
        <v>0</v>
      </c>
      <c r="Y42" s="250">
        <f>SUM(Y9:Y41)</f>
        <v>0</v>
      </c>
      <c r="Z42" s="249">
        <f>SUM(Z9:Z41)</f>
        <v>1</v>
      </c>
      <c r="AA42" s="251">
        <f>SUM(AA9:AA41)</f>
        <v>0</v>
      </c>
      <c r="AB42" s="251">
        <f>SUM(AB9:AB41)</f>
        <v>1</v>
      </c>
      <c r="AC42" s="252"/>
      <c r="AD42" s="250">
        <f>SUM(AD9:AD41)</f>
        <v>0</v>
      </c>
      <c r="AE42" s="250">
        <f>SUM(AE9:AE41)</f>
        <v>0</v>
      </c>
      <c r="AF42" s="249">
        <f>SUM(AF9:AF41)</f>
        <v>1</v>
      </c>
      <c r="AG42" s="251">
        <f>SUM(AG9:AG41)</f>
        <v>0</v>
      </c>
      <c r="AH42" s="251">
        <f>SUM(AH9:AH41)</f>
        <v>1</v>
      </c>
      <c r="AI42" s="252"/>
      <c r="AJ42" s="250">
        <f>SUM(AJ9:AJ41)</f>
        <v>0</v>
      </c>
      <c r="AK42" s="250">
        <f>SUM(AK9:AK41)</f>
        <v>0</v>
      </c>
      <c r="AL42" s="249">
        <f>SUM(AL9:AL41)</f>
        <v>1</v>
      </c>
      <c r="AM42" s="251">
        <f>SUM(AM9:AM41)</f>
        <v>0</v>
      </c>
      <c r="AN42" s="251">
        <f>SUM(AN9:AN41)</f>
        <v>1</v>
      </c>
      <c r="AO42" s="252"/>
      <c r="AP42" s="250">
        <f>SUM(AP9:AP41)</f>
        <v>0</v>
      </c>
      <c r="AQ42" s="250">
        <f>SUM(AQ9:AQ41)</f>
        <v>0</v>
      </c>
      <c r="AR42" s="249">
        <f>SUM(AR9:AR41)</f>
        <v>1</v>
      </c>
      <c r="AS42" s="251">
        <f>SUM(AS9:AS41)</f>
        <v>0</v>
      </c>
      <c r="AT42" s="251">
        <f>SUM(AT9:AT41)</f>
        <v>1</v>
      </c>
      <c r="AU42" s="252"/>
      <c r="AV42" s="250">
        <f>SUM(AV9:AV41)</f>
        <v>0</v>
      </c>
      <c r="AW42" s="250">
        <f>SUM(AW9:AW41)</f>
        <v>0</v>
      </c>
      <c r="AX42" s="249">
        <f>SUM(AX9:AX41)</f>
        <v>1</v>
      </c>
      <c r="AY42" s="251">
        <f>SUM(AY9:AY41)</f>
        <v>0</v>
      </c>
      <c r="AZ42" s="251">
        <f>SUM(AZ9:AZ41)</f>
        <v>1</v>
      </c>
      <c r="BA42" s="252"/>
      <c r="BB42" s="250">
        <f>SUM(BB9:BB41)</f>
        <v>0</v>
      </c>
      <c r="BC42" s="250">
        <f>SUM(BC9:BC41)</f>
        <v>0</v>
      </c>
      <c r="BD42" s="249">
        <f>SUM(BD9:BD41)</f>
        <v>1</v>
      </c>
      <c r="BE42" s="251">
        <f>SUM(BE9:BE41)</f>
        <v>0</v>
      </c>
      <c r="BF42" s="251">
        <f>SUM(BF9:BF41)</f>
        <v>1</v>
      </c>
      <c r="BG42" s="252"/>
      <c r="BH42" s="250">
        <f>SUM(BH9:BH41)</f>
        <v>0</v>
      </c>
      <c r="BI42" s="250">
        <f>SUM(BI9:BI41)</f>
        <v>0</v>
      </c>
      <c r="BJ42" s="249">
        <f>SUM(BJ9:BJ41)</f>
        <v>1</v>
      </c>
      <c r="BK42" s="251">
        <f>SUM(BK9:BK41)</f>
        <v>0</v>
      </c>
      <c r="BL42" s="251">
        <f>SUM(BL9:BL41)</f>
        <v>1</v>
      </c>
      <c r="BM42" s="252"/>
      <c r="BN42" s="250">
        <f>SUM(BN9:BN41)</f>
        <v>0</v>
      </c>
      <c r="BO42" s="250">
        <f>SUM(BO9:BO41)</f>
        <v>0</v>
      </c>
      <c r="BP42" s="249">
        <f>SUM(BP9:BP41)</f>
        <v>1</v>
      </c>
      <c r="BQ42" s="251">
        <f>SUM(BQ9:BQ41)</f>
        <v>0</v>
      </c>
      <c r="BR42" s="251">
        <f>SUM(BR9:BR41)</f>
        <v>1</v>
      </c>
      <c r="BS42" s="252"/>
      <c r="BT42" s="250">
        <f>SUM(BT9:BT41)</f>
        <v>0</v>
      </c>
      <c r="BU42" s="250">
        <f>SUM(BU9:BU41)</f>
        <v>0</v>
      </c>
      <c r="BV42" s="249">
        <f>SUM(BV9:BV41)</f>
        <v>1</v>
      </c>
      <c r="BW42" s="251">
        <f>SUM(BW9:BW41)</f>
        <v>0</v>
      </c>
      <c r="BX42" s="251">
        <f>SUM(BX9:BX41)</f>
        <v>1</v>
      </c>
      <c r="BY42" s="252"/>
      <c r="BZ42" s="250">
        <f>SUM(BZ9:BZ41)</f>
        <v>0</v>
      </c>
      <c r="CA42" s="250">
        <f>SUM(CA9:CA41)</f>
        <v>0</v>
      </c>
      <c r="CB42" s="249">
        <f>SUM(CB9:CB41)</f>
        <v>1</v>
      </c>
      <c r="CC42" s="251">
        <f>SUM(CC9:CC41)</f>
        <v>0</v>
      </c>
      <c r="CD42" s="251">
        <f>SUM(CD9:CD41)</f>
        <v>1</v>
      </c>
      <c r="CE42" s="252"/>
      <c r="CF42" s="250">
        <f>SUM(CF9:CF41)</f>
        <v>0</v>
      </c>
      <c r="CG42" s="250">
        <f>SUM(CG9:CG41)</f>
        <v>0</v>
      </c>
      <c r="CH42" s="249">
        <f>SUM(CH9:CH41)</f>
        <v>1</v>
      </c>
      <c r="CI42" s="251">
        <f>SUM(CI9:CI41)</f>
        <v>0</v>
      </c>
      <c r="CJ42" s="251">
        <f>SUM(CJ9:CJ41)</f>
        <v>1</v>
      </c>
      <c r="CK42" s="252"/>
      <c r="CL42" s="250">
        <f>SUM(CL9:CL41)</f>
        <v>0</v>
      </c>
      <c r="CM42" s="250">
        <f>SUM(CM9:CM41)</f>
        <v>0</v>
      </c>
      <c r="CN42" s="249">
        <f>SUM(CN9:CN41)</f>
        <v>1</v>
      </c>
      <c r="CO42" s="251">
        <f>SUM(CO9:CO41)</f>
        <v>0</v>
      </c>
      <c r="CP42" s="251">
        <f>SUM(CP9:CP41)</f>
        <v>1</v>
      </c>
      <c r="CQ42" s="252"/>
      <c r="CR42" s="250">
        <f>SUM(CR9:CR41)</f>
        <v>0</v>
      </c>
      <c r="CS42" s="250">
        <f>SUM(CS9:CS41)</f>
        <v>0</v>
      </c>
      <c r="CT42" s="249">
        <f>SUM(CT9:CT41)</f>
        <v>1</v>
      </c>
      <c r="CU42" s="251">
        <f>SUM(CU9:CU41)</f>
        <v>0</v>
      </c>
      <c r="CV42" s="251">
        <f>SUM(CV9:CV41)</f>
        <v>1</v>
      </c>
      <c r="CW42" s="252"/>
      <c r="CX42" s="250">
        <f>SUM(CX9:CX41)</f>
        <v>0</v>
      </c>
      <c r="CY42" s="250">
        <f>SUM(CY9:CY41)</f>
        <v>0</v>
      </c>
      <c r="CZ42" s="249">
        <f>SUM(CZ9:CZ41)</f>
        <v>1</v>
      </c>
      <c r="DA42" s="251">
        <f>SUM(DA9:DA41)</f>
        <v>0</v>
      </c>
      <c r="DB42" s="251">
        <f>SUM(DB9:DB41)</f>
        <v>1</v>
      </c>
      <c r="DC42" s="252"/>
      <c r="DD42" s="250">
        <f>SUM(DD9:DD41)</f>
        <v>0</v>
      </c>
      <c r="DE42" s="250">
        <f>SUM(DE9:DE41)</f>
        <v>0</v>
      </c>
      <c r="DF42" s="249">
        <f>SUM(DF9:DF41)</f>
        <v>1</v>
      </c>
      <c r="DG42" s="251">
        <f>SUM(DG9:DG41)</f>
        <v>0</v>
      </c>
      <c r="DH42" s="251">
        <f>SUM(DH9:DH41)</f>
        <v>1</v>
      </c>
      <c r="DI42" s="252"/>
      <c r="DJ42" s="250">
        <f>SUM(DJ9:DJ41)</f>
        <v>0</v>
      </c>
      <c r="DK42" s="250">
        <f>SUM(DK9:DK41)</f>
        <v>0</v>
      </c>
      <c r="DL42" s="249">
        <f>SUM(DL9:DL41)</f>
        <v>1</v>
      </c>
      <c r="DM42" s="251">
        <f>SUM(DM9:DM41)</f>
        <v>0</v>
      </c>
      <c r="DN42" s="251">
        <f>SUM(DN9:DN41)</f>
        <v>1</v>
      </c>
      <c r="DO42" s="252"/>
      <c r="DP42" s="250">
        <f>SUM(DP9:DP41)</f>
        <v>0</v>
      </c>
      <c r="DQ42" s="250">
        <f>SUM(DQ9:DQ41)</f>
        <v>0</v>
      </c>
      <c r="DR42" s="249">
        <f>SUM(DR9:DR41)</f>
        <v>1</v>
      </c>
      <c r="DS42" s="251">
        <f>SUM(DS9:DS41)</f>
        <v>0</v>
      </c>
      <c r="DT42" s="251">
        <f>SUM(DT9:DT41)</f>
        <v>1</v>
      </c>
      <c r="DU42" s="252"/>
      <c r="DV42" s="250">
        <f>SUM(DV9:DV41)</f>
        <v>0</v>
      </c>
      <c r="DW42" s="250">
        <f>SUM(DW9:DW41)</f>
        <v>0</v>
      </c>
      <c r="DX42" s="249">
        <f>SUM(DX9:DX41)</f>
        <v>1</v>
      </c>
      <c r="DY42" s="251">
        <f>SUM(DY9:DY41)</f>
        <v>0</v>
      </c>
      <c r="DZ42" s="251">
        <f>SUM(DZ9:DZ41)</f>
        <v>1</v>
      </c>
      <c r="EA42" s="252"/>
      <c r="EB42" s="250">
        <f>SUM(EB9:EB41)</f>
        <v>0</v>
      </c>
      <c r="EC42" s="250">
        <f>SUM(EC9:EC41)</f>
        <v>0</v>
      </c>
      <c r="ED42" s="249">
        <f>SUM(ED9:ED41)</f>
        <v>1</v>
      </c>
      <c r="EE42" s="251">
        <f>SUM(EE9:EE41)</f>
        <v>0</v>
      </c>
      <c r="EF42" s="251">
        <f>SUM(EF9:EF41)</f>
        <v>1</v>
      </c>
      <c r="EG42" s="252"/>
      <c r="EH42" s="250">
        <f>SUM(EH9:EH41)</f>
        <v>0</v>
      </c>
      <c r="EI42" s="250">
        <f>SUM(EI9:EI41)</f>
        <v>0</v>
      </c>
      <c r="EJ42" s="249">
        <f>SUM(EJ9:EJ41)</f>
        <v>1</v>
      </c>
      <c r="EK42" s="251">
        <f>SUM(EK9:EK41)</f>
        <v>0</v>
      </c>
      <c r="EL42" s="251">
        <f>SUM(EL9:EL41)</f>
        <v>1</v>
      </c>
      <c r="EM42" s="252"/>
      <c r="EN42" s="250">
        <f>SUM(EN9:EN41)</f>
        <v>0</v>
      </c>
      <c r="EO42" s="250">
        <f>SUM(EO9:EO41)</f>
        <v>0</v>
      </c>
      <c r="EP42" s="249">
        <f>SUM(EP9:EP41)</f>
        <v>1</v>
      </c>
      <c r="EQ42" s="251">
        <f>SUM(EQ9:EQ41)</f>
        <v>0</v>
      </c>
      <c r="ER42" s="251">
        <f>SUM(ER9:ER41)</f>
        <v>1</v>
      </c>
      <c r="ES42" s="252"/>
      <c r="ET42" s="250">
        <f>SUM(ET9:ET41)</f>
        <v>0</v>
      </c>
      <c r="EU42" s="250">
        <f>SUM(EU9:EU41)</f>
        <v>0</v>
      </c>
      <c r="EV42" s="249">
        <f>SUM(EV9:EV41)</f>
        <v>1</v>
      </c>
      <c r="EW42" s="251">
        <f>SUM(EW9:EW41)</f>
        <v>0</v>
      </c>
      <c r="EX42" s="251">
        <f>SUM(EX9:EX41)</f>
        <v>1</v>
      </c>
      <c r="EY42" s="252"/>
      <c r="EZ42" s="250">
        <f>SUM(EZ9:EZ41)</f>
        <v>0</v>
      </c>
      <c r="FA42" s="250">
        <f>SUM(FA9:FA41)</f>
        <v>0</v>
      </c>
      <c r="FB42" s="249">
        <f>SUM(FB9:FB41)</f>
        <v>1</v>
      </c>
      <c r="FC42" s="251">
        <f>SUM(FC9:FC41)</f>
        <v>0</v>
      </c>
      <c r="FD42" s="251">
        <f>SUM(FD9:FD41)</f>
        <v>1</v>
      </c>
      <c r="FE42" s="252"/>
      <c r="FF42" s="250">
        <f>SUM(FF9:FF41)</f>
        <v>0</v>
      </c>
      <c r="FG42" s="250">
        <f>SUM(FG9:FG41)</f>
        <v>0</v>
      </c>
      <c r="FH42" s="249">
        <f>SUM(FH9:FH41)</f>
        <v>1</v>
      </c>
      <c r="FI42" s="251">
        <f>SUM(FI9:FI41)</f>
        <v>0</v>
      </c>
      <c r="FJ42" s="251">
        <f>SUM(FJ9:FJ41)</f>
        <v>1</v>
      </c>
      <c r="FK42" s="252"/>
      <c r="FL42" s="250">
        <f>SUM(FL9:FL41)</f>
        <v>0</v>
      </c>
      <c r="FM42" s="250">
        <f>SUM(FM9:FM41)</f>
        <v>0</v>
      </c>
      <c r="FN42" s="249">
        <f>SUM(FN9:FN41)</f>
        <v>1</v>
      </c>
      <c r="FO42" s="251">
        <f>SUM(FO9:FO41)</f>
        <v>0</v>
      </c>
      <c r="FP42" s="251">
        <f>SUM(FP9:FP41)</f>
        <v>1</v>
      </c>
      <c r="FQ42" s="252"/>
      <c r="FR42" s="250">
        <f>SUM(FR9:FR41)</f>
        <v>0</v>
      </c>
      <c r="FS42" s="250">
        <f>SUM(FS9:FS41)</f>
        <v>0</v>
      </c>
      <c r="FT42" s="249">
        <f>SUM(FT9:FT41)</f>
        <v>1</v>
      </c>
      <c r="FU42" s="251">
        <f>SUM(FU9:FU41)</f>
        <v>0</v>
      </c>
      <c r="FV42" s="251">
        <f>SUM(FV9:FV41)</f>
        <v>1</v>
      </c>
      <c r="FW42" s="252"/>
      <c r="FX42" s="250">
        <f>SUM(FX9:FX41)</f>
        <v>0</v>
      </c>
      <c r="FY42" s="250">
        <f>SUM(FY9:FY41)</f>
        <v>0</v>
      </c>
      <c r="FZ42" s="249">
        <f>SUM(FZ9:FZ41)</f>
        <v>1</v>
      </c>
      <c r="GA42" s="251">
        <f>SUM(GA9:GA41)</f>
        <v>0</v>
      </c>
      <c r="GB42" s="251">
        <f>SUM(GB9:GB41)</f>
        <v>1</v>
      </c>
      <c r="GC42" s="252"/>
      <c r="GD42" s="250">
        <f>SUM(GD9:GD41)</f>
        <v>0</v>
      </c>
      <c r="GE42" s="250">
        <f>SUM(GE9:GE41)</f>
        <v>0</v>
      </c>
      <c r="GF42" s="249">
        <f>SUM(GF9:GF41)</f>
        <v>1</v>
      </c>
      <c r="GG42" s="251">
        <f>SUM(GG9:GG41)</f>
        <v>0</v>
      </c>
      <c r="GH42" s="251">
        <f>SUM(GH9:GH41)</f>
        <v>1</v>
      </c>
      <c r="GI42" s="252"/>
      <c r="GJ42" s="250">
        <f>SUM(GJ9:GJ41)</f>
        <v>0</v>
      </c>
      <c r="GK42" s="250">
        <f>SUM(GK9:GK41)</f>
        <v>0</v>
      </c>
      <c r="GL42" s="249">
        <f>SUM(GL9:GL41)</f>
        <v>1</v>
      </c>
      <c r="GM42" s="251">
        <f>SUM(GM9:GM41)</f>
        <v>0</v>
      </c>
      <c r="GN42" s="251">
        <f>SUM(GN9:GN41)</f>
        <v>1</v>
      </c>
      <c r="GO42" s="252"/>
      <c r="GP42" s="250">
        <f>SUM(GP9:GP41)</f>
        <v>0</v>
      </c>
      <c r="GQ42" s="250">
        <f>SUM(GQ9:GQ41)</f>
        <v>0</v>
      </c>
      <c r="GR42" s="249">
        <f>SUM(GR9:GR41)</f>
        <v>1</v>
      </c>
      <c r="GS42" s="251">
        <f>SUM(GS9:GS41)</f>
        <v>0</v>
      </c>
      <c r="GT42" s="251">
        <f>SUM(GT9:GT41)</f>
        <v>1</v>
      </c>
      <c r="GU42" s="252"/>
      <c r="GV42" s="250">
        <f t="shared" ref="GV42:HA42" si="176">SUM(GV9:GV41)</f>
        <v>0</v>
      </c>
      <c r="GW42" s="250">
        <f t="shared" si="176"/>
        <v>0</v>
      </c>
      <c r="GX42" s="249">
        <f t="shared" si="176"/>
        <v>1</v>
      </c>
      <c r="GY42" s="251">
        <f t="shared" si="176"/>
        <v>0</v>
      </c>
      <c r="GZ42" s="251">
        <f t="shared" si="176"/>
        <v>1</v>
      </c>
      <c r="HA42" s="125">
        <f t="shared" si="176"/>
        <v>98822015.00000003</v>
      </c>
      <c r="HB42" s="253"/>
      <c r="HC42" s="254"/>
      <c r="HD42" s="255">
        <f>COUNTIF(HD9:HD41,"1")</f>
        <v>0</v>
      </c>
    </row>
    <row r="43" spans="1:215" ht="13.5" thickTop="1">
      <c r="J43" s="111">
        <v>1</v>
      </c>
      <c r="P43" s="111">
        <f>J43+1</f>
        <v>2</v>
      </c>
      <c r="V43" s="111">
        <f>P43+1</f>
        <v>3</v>
      </c>
      <c r="AB43" s="111">
        <f>V43+1</f>
        <v>4</v>
      </c>
      <c r="AH43" s="111">
        <f>AB43+1</f>
        <v>5</v>
      </c>
      <c r="AN43" s="111">
        <f>AH43+1</f>
        <v>6</v>
      </c>
      <c r="AT43" s="111">
        <f>AN43+1</f>
        <v>7</v>
      </c>
      <c r="AZ43" s="111">
        <f>AT43+1</f>
        <v>8</v>
      </c>
      <c r="BF43" s="111">
        <f>AZ43+1</f>
        <v>9</v>
      </c>
      <c r="BL43" s="111">
        <f>BF43+1</f>
        <v>10</v>
      </c>
      <c r="BR43" s="111">
        <f>BL43+1</f>
        <v>11</v>
      </c>
      <c r="BX43" s="111">
        <f>BR43+1</f>
        <v>12</v>
      </c>
      <c r="CD43" s="111">
        <f>BX43+1</f>
        <v>13</v>
      </c>
      <c r="CJ43" s="111">
        <f>CD43+1</f>
        <v>14</v>
      </c>
      <c r="CP43" s="111">
        <f>CJ43+1</f>
        <v>15</v>
      </c>
      <c r="CV43" s="111">
        <f>CP43+1</f>
        <v>16</v>
      </c>
      <c r="DB43" s="111">
        <f>CV43+1</f>
        <v>17</v>
      </c>
      <c r="DH43" s="111">
        <f>DB43+1</f>
        <v>18</v>
      </c>
      <c r="DN43" s="111">
        <f>DH43+1</f>
        <v>19</v>
      </c>
      <c r="DT43" s="111">
        <f>DN43+1</f>
        <v>20</v>
      </c>
      <c r="DZ43" s="111">
        <f>DT43+1</f>
        <v>21</v>
      </c>
      <c r="EF43" s="111">
        <f>DZ43+1</f>
        <v>22</v>
      </c>
      <c r="EL43" s="111">
        <f>EF43+1</f>
        <v>23</v>
      </c>
      <c r="ER43" s="111">
        <f>EL43+1</f>
        <v>24</v>
      </c>
      <c r="EX43" s="111">
        <f>ER43+1</f>
        <v>25</v>
      </c>
      <c r="FD43" s="111">
        <f>EX43+1</f>
        <v>26</v>
      </c>
      <c r="FJ43" s="111">
        <f>FD43+1</f>
        <v>27</v>
      </c>
      <c r="FP43" s="111">
        <f>FJ43+1</f>
        <v>28</v>
      </c>
      <c r="FV43" s="111">
        <f>FP43+1</f>
        <v>29</v>
      </c>
      <c r="GB43" s="111">
        <f>FV43+1</f>
        <v>30</v>
      </c>
      <c r="GH43" s="111">
        <f>GB43+1</f>
        <v>31</v>
      </c>
      <c r="GN43" s="111">
        <f>GH43+1</f>
        <v>32</v>
      </c>
      <c r="GT43" s="111">
        <f>GN43+1</f>
        <v>33</v>
      </c>
      <c r="GZ43" s="111">
        <f>GT43+1</f>
        <v>34</v>
      </c>
    </row>
    <row r="44" spans="1:215">
      <c r="P44" s="256"/>
    </row>
    <row r="45" spans="1:215">
      <c r="P45" s="257"/>
    </row>
  </sheetData>
  <sheetProtection password="CC01" sheet="1" objects="1" scenarios="1" formatColumns="0" formatRows="0"/>
  <mergeCells count="4">
    <mergeCell ref="B1:C1"/>
    <mergeCell ref="A7:HA7"/>
    <mergeCell ref="A42:C42"/>
    <mergeCell ref="HE8:HF8"/>
  </mergeCells>
  <phoneticPr fontId="5" type="noConversion"/>
  <conditionalFormatting sqref="P9:P41 FV9:FV41 FP9:FP41 FJ9:FJ41 FD9:FD41 EX9:EX41 ER9:ER41 EL9:EL41 EF9:EF41 DZ9:DZ41 DT9:DT41 DN9:DN41 DH9:DH41 DB9:DB41 CV9:CV41 CP9:CP41 CJ9:CJ41 CD9:CD41 BX9:BX41 BR9:BR41 BL9:BL41 BF9:BF41 AZ9:AZ41 AT9:AT41 AN9:AN41 AH9:AH41 AB9:AB41 V9:V41 GB9:GB41 GH9:GH41 GN9:GN41 GT9:GT41 GZ9:GZ41 J9:J41">
    <cfRule type="expression" dxfId="63" priority="1" stopIfTrue="1">
      <formula>(J9/$D9)&lt;(1-$C$3)</formula>
    </cfRule>
  </conditionalFormatting>
  <conditionalFormatting sqref="C9:C41">
    <cfRule type="expression" dxfId="62" priority="2" stopIfTrue="1">
      <formula>#REF!</formula>
    </cfRule>
  </conditionalFormatting>
  <dataValidations count="1">
    <dataValidation type="list" errorStyle="warning" allowBlank="1" showInputMessage="1" showErrorMessage="1" errorTitle="טעות בהזנה" error="יש להזין 1 אם הגוף זכאי להגנה בשנה זו או 0 אם הגוף אינו זכאי_x000a_נא לבדוק כי הוזן שם לגוף" sqref="C9:C41">
      <formula1>#REF!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scale="60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indexed="44"/>
    <pageSetUpPr fitToPage="1"/>
  </sheetPr>
  <dimension ref="A1:M41"/>
  <sheetViews>
    <sheetView rightToLeft="1" view="pageBreakPreview" zoomScale="90" zoomScaleSheetLayoutView="90" workbookViewId="0">
      <selection activeCell="J7" sqref="J7"/>
    </sheetView>
  </sheetViews>
  <sheetFormatPr defaultRowHeight="12.75"/>
  <cols>
    <col min="1" max="1" width="8" customWidth="1"/>
    <col min="2" max="2" width="24.5703125" customWidth="1"/>
    <col min="3" max="3" width="9.7109375" customWidth="1"/>
    <col min="4" max="5" width="15.7109375" customWidth="1"/>
    <col min="6" max="6" width="15.7109375" hidden="1" customWidth="1"/>
    <col min="7" max="7" width="15.7109375" customWidth="1"/>
    <col min="8" max="8" width="16.28515625" hidden="1" customWidth="1"/>
    <col min="9" max="9" width="16.28515625" customWidth="1"/>
    <col min="10" max="10" width="14.140625" customWidth="1"/>
    <col min="11" max="11" width="11.7109375" bestFit="1" customWidth="1"/>
    <col min="13" max="13" width="14.5703125" bestFit="1" customWidth="1"/>
  </cols>
  <sheetData>
    <row r="1" spans="1:13" ht="17.25" thickTop="1" thickBot="1">
      <c r="B1" s="575" t="str">
        <f>פרמטרים!B1</f>
        <v>שנת התקציב</v>
      </c>
      <c r="C1" s="576"/>
      <c r="D1" s="233">
        <f>פרמטרים!D1</f>
        <v>2018</v>
      </c>
    </row>
    <row r="2" spans="1:13" ht="18.75" thickBot="1">
      <c r="B2" s="577" t="str">
        <f>פרמטרים!B2</f>
        <v>תקציב</v>
      </c>
      <c r="C2" s="578"/>
      <c r="D2" s="155">
        <f>פרמטרים!D2</f>
        <v>98822015</v>
      </c>
    </row>
    <row r="3" spans="1:13" ht="14.25" thickTop="1" thickBot="1"/>
    <row r="4" spans="1:13" ht="16.5" thickBot="1">
      <c r="A4" s="678" t="s">
        <v>131</v>
      </c>
      <c r="B4" s="679"/>
      <c r="C4" s="679"/>
      <c r="D4" s="679"/>
      <c r="E4" s="679"/>
      <c r="F4" s="679"/>
      <c r="G4" s="679"/>
      <c r="H4" s="679"/>
      <c r="I4" s="679"/>
      <c r="J4" s="680"/>
    </row>
    <row r="5" spans="1:13" ht="52.5" customHeight="1" thickBot="1">
      <c r="A5" s="289" t="str">
        <f>סיווג!A12</f>
        <v>מספר סידורי</v>
      </c>
      <c r="B5" s="290" t="str">
        <f>סיווג!B12</f>
        <v>שם התיאטרון</v>
      </c>
      <c r="C5" s="290" t="s">
        <v>190</v>
      </c>
      <c r="D5" s="290" t="s">
        <v>174</v>
      </c>
      <c r="E5" s="290" t="s">
        <v>175</v>
      </c>
      <c r="F5" s="290" t="s">
        <v>234</v>
      </c>
      <c r="G5" s="290" t="s">
        <v>177</v>
      </c>
      <c r="H5" s="290" t="s">
        <v>235</v>
      </c>
      <c r="I5" s="290" t="s">
        <v>154</v>
      </c>
      <c r="J5" s="290" t="s">
        <v>176</v>
      </c>
    </row>
    <row r="6" spans="1:13">
      <c r="A6" s="78">
        <f>סיווג!A14</f>
        <v>1</v>
      </c>
      <c r="B6" s="79" t="str">
        <f>IF(סיווג!B14=0,"",סיווג!B14)</f>
        <v>הבימה</v>
      </c>
      <c r="C6" s="292">
        <f>IF(B6="","",סיווג!X14)</f>
        <v>1</v>
      </c>
      <c r="D6" s="104">
        <f>הגנה!HA9</f>
        <v>17444886.321834143</v>
      </c>
      <c r="E6" s="64"/>
      <c r="F6" s="291">
        <f>IF(B6="","",IF(E6&gt;0,1,0))</f>
        <v>0</v>
      </c>
      <c r="G6" s="47">
        <f>IF(OR(D6="",ISERR(E6/3),E6&lt;0),"",D6-פרמטרים!$E$64*E6)</f>
        <v>17444886.321834143</v>
      </c>
      <c r="H6" s="127">
        <f>IF(B6="","",IF(F6=1,G6+(($E$39-E6)*פרמטרים!$E$64)*G6/(SUMIF(F$6:F$38,0,G$6:G$38)+G6),0))</f>
        <v>0</v>
      </c>
      <c r="I6" s="109">
        <f>IF(ISERR(J6/$J$39),"",J6/$J$39)</f>
        <v>0.17652834059125527</v>
      </c>
      <c r="J6" s="294">
        <f t="shared" ref="J6:J38" si="0">IF(B6="","",IFERROR(IF(F6=1,H6,G6/SUMIF(F$6:F$38,0,G$6:G$38)*($D$2-$H$39)),""))</f>
        <v>17444886.321834136</v>
      </c>
    </row>
    <row r="7" spans="1:13">
      <c r="A7" s="80">
        <f>סיווג!A15</f>
        <v>2</v>
      </c>
      <c r="B7" s="81" t="str">
        <f>IF(סיווג!B15=0,"",סיווג!B15)</f>
        <v>הקאמרי</v>
      </c>
      <c r="C7" s="292">
        <f>IF(B7="","",סיווג!X15)</f>
        <v>1</v>
      </c>
      <c r="D7" s="104">
        <f>הגנה!HA10</f>
        <v>10956456.845021032</v>
      </c>
      <c r="E7" s="64"/>
      <c r="F7" s="291">
        <f t="shared" ref="F7:F38" si="1">IF(B7="","",IF(E7&gt;0,1,0))</f>
        <v>0</v>
      </c>
      <c r="G7" s="47">
        <f>IF(OR(D7="",ISERR(E7/3),E7&lt;0),"",D7-פרמטרים!$E$64*E7)</f>
        <v>10956456.845021032</v>
      </c>
      <c r="H7" s="127">
        <f>IF(B7="","",IF(F7=1,G7+(($E$39-E7)*פרמטרים!$E$64)*G7/(SUMIF(F$6:F$38,0,G$6:G$38)+G7),0))</f>
        <v>0</v>
      </c>
      <c r="I7" s="109">
        <f t="shared" ref="I7:I38" si="2">IF(ISERR(J7/$J$39),"",J7/$J$39)</f>
        <v>0.11087060757687477</v>
      </c>
      <c r="J7" s="294">
        <f t="shared" si="0"/>
        <v>10956456.84502103</v>
      </c>
    </row>
    <row r="8" spans="1:13">
      <c r="A8" s="80">
        <f>סיווג!A16</f>
        <v>3</v>
      </c>
      <c r="B8" s="81" t="str">
        <f>IF(סיווג!B16=0,"",סיווג!B16)</f>
        <v>בית לסין</v>
      </c>
      <c r="C8" s="292">
        <f>IF(B8="","",סיווג!X16)</f>
        <v>1</v>
      </c>
      <c r="D8" s="104">
        <f>הגנה!HA11</f>
        <v>8918227.8986691162</v>
      </c>
      <c r="E8" s="64"/>
      <c r="F8" s="291">
        <f t="shared" si="1"/>
        <v>0</v>
      </c>
      <c r="G8" s="47">
        <f>IF(OR(D8="",ISERR(E8/3),E8&lt;0),"",D8-פרמטרים!$E$64*E8)</f>
        <v>8918227.8986691162</v>
      </c>
      <c r="H8" s="127">
        <f>IF(B8="","",IF(F8=1,G8+(($E$39-E8)*פרמטרים!$E$64)*G8/(SUMIF(F$6:F$38,0,G$6:G$38)+G8),0))</f>
        <v>0</v>
      </c>
      <c r="I8" s="109">
        <f t="shared" si="2"/>
        <v>9.0245355740511013E-2</v>
      </c>
      <c r="J8" s="294">
        <f t="shared" si="0"/>
        <v>8918227.8986691143</v>
      </c>
    </row>
    <row r="9" spans="1:13">
      <c r="A9" s="80">
        <f>סיווג!A17</f>
        <v>4</v>
      </c>
      <c r="B9" s="81" t="str">
        <f>IF(סיווג!B17=0,"",סיווג!B17)</f>
        <v>חיפה</v>
      </c>
      <c r="C9" s="292">
        <f>IF(B9="","",סיווג!X17)</f>
        <v>0.8</v>
      </c>
      <c r="D9" s="104">
        <f>הגנה!HA12</f>
        <v>5959014.0975159407</v>
      </c>
      <c r="E9" s="64"/>
      <c r="F9" s="291">
        <f t="shared" si="1"/>
        <v>0</v>
      </c>
      <c r="G9" s="47">
        <f>IF(OR(D9="",ISERR(E9/3),E9&lt;0),"",D9-פרמטרים!$E$64*E9)</f>
        <v>5959014.0975159407</v>
      </c>
      <c r="H9" s="127">
        <f>IF(B9="","",IF(F9=1,G9+(($E$39-E9)*פרמטרים!$E$64)*G9/(SUMIF(F$6:F$38,0,G$6:G$38)+G9),0))</f>
        <v>0</v>
      </c>
      <c r="I9" s="109">
        <f t="shared" si="2"/>
        <v>6.0300471484172224E-2</v>
      </c>
      <c r="J9" s="294">
        <f t="shared" si="0"/>
        <v>5959014.0975159388</v>
      </c>
    </row>
    <row r="10" spans="1:13">
      <c r="A10" s="80">
        <f>סיווג!A18</f>
        <v>5</v>
      </c>
      <c r="B10" s="81" t="str">
        <f>IF(סיווג!B18=0,"",סיווג!B18)</f>
        <v>באר שבע</v>
      </c>
      <c r="C10" s="292">
        <f>IF(B10="","",סיווג!X18)</f>
        <v>0.8</v>
      </c>
      <c r="D10" s="104">
        <f>הגנה!HA13</f>
        <v>7509579.2606647927</v>
      </c>
      <c r="E10" s="64"/>
      <c r="F10" s="291">
        <f t="shared" si="1"/>
        <v>0</v>
      </c>
      <c r="G10" s="47">
        <f>IF(OR(D10="",ISERR(E10/3),E10&lt;0),"",D10-פרמטרים!$E$64*E10)</f>
        <v>7509579.2606647927</v>
      </c>
      <c r="H10" s="127">
        <f>IF(B10="","",IF(F10=1,G10+(($E$39-E10)*פרמטרים!$E$64)*G10/(SUMIF(F$6:F$38,0,G$6:G$38)+G10),0))</f>
        <v>0</v>
      </c>
      <c r="I10" s="109">
        <f t="shared" si="2"/>
        <v>7.5990954653826798E-2</v>
      </c>
      <c r="J10" s="294">
        <f t="shared" si="0"/>
        <v>7509579.2606647899</v>
      </c>
    </row>
    <row r="11" spans="1:13">
      <c r="A11" s="80">
        <f>סיווג!A19</f>
        <v>6</v>
      </c>
      <c r="B11" s="81" t="str">
        <f>IF(סיווג!B19=0,"",סיווג!B19)</f>
        <v>גשר</v>
      </c>
      <c r="C11" s="292">
        <f>IF(B11="","",סיווג!X19)</f>
        <v>0.8</v>
      </c>
      <c r="D11" s="104">
        <f>הגנה!HA14</f>
        <v>5844132.6565139117</v>
      </c>
      <c r="E11" s="288"/>
      <c r="F11" s="291">
        <f t="shared" si="1"/>
        <v>0</v>
      </c>
      <c r="G11" s="47">
        <f>IF(OR(D11="",ISERR(E11/3),E11&lt;0),"",D11-פרמטרים!$E$64*E11)</f>
        <v>5844132.6565139117</v>
      </c>
      <c r="H11" s="127">
        <f>IF(B11="","",IF(F11=1,G11+(($E$39-E11)*פרמטרים!$E$64)*G11/(SUMIF(F$6:F$38,0,G$6:G$38)+G11),0))</f>
        <v>0</v>
      </c>
      <c r="I11" s="109">
        <f t="shared" si="2"/>
        <v>5.9137962897375759E-2</v>
      </c>
      <c r="J11" s="294">
        <f t="shared" si="0"/>
        <v>5844132.6565139098</v>
      </c>
      <c r="K11" s="293"/>
      <c r="M11" s="295"/>
    </row>
    <row r="12" spans="1:13">
      <c r="A12" s="80">
        <f>סיווג!A20</f>
        <v>7</v>
      </c>
      <c r="B12" s="81" t="str">
        <f>IF(סיווג!B20=0,"",סיווג!B20)</f>
        <v>החאן</v>
      </c>
      <c r="C12" s="292">
        <f>IF(B12="","",סיווג!X20)</f>
        <v>0.8</v>
      </c>
      <c r="D12" s="104">
        <f>הגנה!HA15</f>
        <v>7206211.7282123324</v>
      </c>
      <c r="E12" s="64"/>
      <c r="F12" s="291">
        <f t="shared" si="1"/>
        <v>0</v>
      </c>
      <c r="G12" s="47">
        <f>IF(OR(D12="",ISERR(E12/3),E12&lt;0),"",D12-פרמטרים!$E$64*E12)</f>
        <v>7206211.7282123324</v>
      </c>
      <c r="H12" s="127">
        <f>IF(B12="","",IF(F12=1,G12+(($E$39-E12)*פרמטרים!$E$64)*G12/(SUMIF(F$6:F$38,0,G$6:G$38)+G12),0))</f>
        <v>0</v>
      </c>
      <c r="I12" s="109">
        <f t="shared" si="2"/>
        <v>7.2921117103434199E-2</v>
      </c>
      <c r="J12" s="294">
        <f t="shared" si="0"/>
        <v>7206211.7282123296</v>
      </c>
      <c r="K12" s="295"/>
    </row>
    <row r="13" spans="1:13">
      <c r="A13" s="80">
        <f>סיווג!A21</f>
        <v>8</v>
      </c>
      <c r="B13" s="81" t="str">
        <f>IF(סיווג!B21=0,"",סיווג!B21)</f>
        <v>היידישפיל</v>
      </c>
      <c r="C13" s="292">
        <f>IF(B13="","",סיווג!X21)</f>
        <v>0.8</v>
      </c>
      <c r="D13" s="104">
        <f>הגנה!HA16</f>
        <v>5128560.6535422485</v>
      </c>
      <c r="E13" s="288"/>
      <c r="F13" s="291">
        <f t="shared" si="1"/>
        <v>0</v>
      </c>
      <c r="G13" s="47">
        <f>IF(OR(D13="",ISERR(E13/3),E13&lt;0),"",D13-פרמטרים!$E$64*E13)</f>
        <v>5128560.6535422485</v>
      </c>
      <c r="H13" s="127">
        <f>IF(B13="","",IF(F13=1,G13+(($E$39-E13)*פרמטרים!$E$64)*G13/(SUMIF(F$6:F$38,0,G$6:G$38)+G13),0))</f>
        <v>0</v>
      </c>
      <c r="I13" s="109">
        <f t="shared" si="2"/>
        <v>5.189694476015539E-2</v>
      </c>
      <c r="J13" s="294">
        <f t="shared" si="0"/>
        <v>5128560.6535422467</v>
      </c>
      <c r="K13" s="293"/>
      <c r="M13" s="295"/>
    </row>
    <row r="14" spans="1:13">
      <c r="A14" s="80">
        <f>סיווג!A22</f>
        <v>9</v>
      </c>
      <c r="B14" s="81" t="str">
        <f>IF(סיווג!B22=0,"",סיווג!B22)</f>
        <v>תיאטרון אלמידאן</v>
      </c>
      <c r="C14" s="292">
        <f>IF(B14="","",סיווג!X22)</f>
        <v>0</v>
      </c>
      <c r="D14" s="104">
        <f>הגנה!HA17</f>
        <v>0</v>
      </c>
      <c r="E14" s="64"/>
      <c r="F14" s="291">
        <f t="shared" si="1"/>
        <v>0</v>
      </c>
      <c r="G14" s="47">
        <f>IF(OR(D14="",ISERR(E14/3),E14&lt;0),"",D14-פרמטרים!$E$64*E14)</f>
        <v>0</v>
      </c>
      <c r="H14" s="127">
        <f>IF(B14="","",IF(F14=1,G14+(($E$39-E14)*פרמטרים!$E$64)*G14/(SUMIF(F$6:F$38,0,G$6:G$38)+G14),0))</f>
        <v>0</v>
      </c>
      <c r="I14" s="109">
        <f t="shared" si="2"/>
        <v>0</v>
      </c>
      <c r="J14" s="294">
        <f t="shared" si="0"/>
        <v>0</v>
      </c>
    </row>
    <row r="15" spans="1:13">
      <c r="A15" s="80">
        <f>סיווג!A23</f>
        <v>10</v>
      </c>
      <c r="B15" s="81" t="str">
        <f>IF(סיווג!B23=0,"",סיווג!B23)</f>
        <v>הזירה הבין תחומית</v>
      </c>
      <c r="C15" s="292">
        <f>IF(B15="","",סיווג!X23)</f>
        <v>0.25</v>
      </c>
      <c r="D15" s="104">
        <f>הגנה!HA18</f>
        <v>815454.76194904477</v>
      </c>
      <c r="E15" s="64"/>
      <c r="F15" s="291">
        <f t="shared" si="1"/>
        <v>0</v>
      </c>
      <c r="G15" s="47">
        <f>IF(OR(D15="",ISERR(E15/3),E15&lt;0),"",D15-פרמטרים!$E$64*E15)</f>
        <v>815454.76194904477</v>
      </c>
      <c r="H15" s="127">
        <f>IF(B15="","",IF(F15=1,G15+(($E$39-E15)*פרמטרים!$E$64)*G15/(SUMIF(F$6:F$38,0,G$6:G$38)+G15),0))</f>
        <v>0</v>
      </c>
      <c r="I15" s="109">
        <f t="shared" si="2"/>
        <v>8.251752020529482E-3</v>
      </c>
      <c r="J15" s="294">
        <f t="shared" si="0"/>
        <v>815454.76194904465</v>
      </c>
    </row>
    <row r="16" spans="1:13">
      <c r="A16" s="80">
        <f>סיווג!A24</f>
        <v>11</v>
      </c>
      <c r="B16" s="81" t="str">
        <f>IF(סיווג!B24=0,"",סיווג!B24)</f>
        <v>אספקלריא</v>
      </c>
      <c r="C16" s="292">
        <f>IF(B16="","",סיווג!X24)</f>
        <v>0.25</v>
      </c>
      <c r="D16" s="104">
        <f>הגנה!HA19</f>
        <v>1571604.7365406682</v>
      </c>
      <c r="E16" s="64"/>
      <c r="F16" s="291">
        <f t="shared" si="1"/>
        <v>0</v>
      </c>
      <c r="G16" s="47">
        <f>IF(OR(D16="",ISERR(E16/3),E16&lt;0),"",D16-פרמטרים!$E$64*E16)</f>
        <v>1571604.7365406682</v>
      </c>
      <c r="H16" s="127">
        <f>IF(B16="","",IF(F16=1,G16+(($E$39-E16)*פרמטרים!$E$64)*G16/(SUMIF(F$6:F$38,0,G$6:G$38)+G16),0))</f>
        <v>0</v>
      </c>
      <c r="I16" s="109">
        <f t="shared" si="2"/>
        <v>1.5903386877313401E-2</v>
      </c>
      <c r="J16" s="294">
        <f t="shared" si="0"/>
        <v>1571604.7365406677</v>
      </c>
    </row>
    <row r="17" spans="1:10">
      <c r="A17" s="80">
        <f>סיווג!A25</f>
        <v>12</v>
      </c>
      <c r="B17" s="81" t="str">
        <f>IF(סיווג!B25=0,"",סיווג!B25)</f>
        <v/>
      </c>
      <c r="C17" s="292" t="str">
        <f>IF(B17="","",סיווג!X25)</f>
        <v/>
      </c>
      <c r="D17" s="104" t="str">
        <f>הגנה!HA20</f>
        <v/>
      </c>
      <c r="E17" s="64"/>
      <c r="F17" s="291" t="str">
        <f t="shared" si="1"/>
        <v/>
      </c>
      <c r="G17" s="47" t="str">
        <f>IF(OR(D17="",ISERR(E17/3),E17&lt;0),"",D17-פרמטרים!$E$64*E17)</f>
        <v/>
      </c>
      <c r="H17" s="127" t="str">
        <f>IF(B17="","",IF(F17=1,G17+(($E$39-E17)*פרמטרים!$E$64)*G17/(SUMIF(F$6:F$38,0,G$6:G$38)+G17),0))</f>
        <v/>
      </c>
      <c r="I17" s="109" t="str">
        <f t="shared" si="2"/>
        <v/>
      </c>
      <c r="J17" s="294" t="str">
        <f t="shared" si="0"/>
        <v/>
      </c>
    </row>
    <row r="18" spans="1:10">
      <c r="A18" s="80">
        <f>סיווג!A26</f>
        <v>13</v>
      </c>
      <c r="B18" s="81" t="str">
        <f>IF(סיווג!B26=0,"",סיווג!B26)</f>
        <v>עכו</v>
      </c>
      <c r="C18" s="292">
        <f>IF(B18="","",סיווג!X26)</f>
        <v>0.25</v>
      </c>
      <c r="D18" s="104">
        <f>הגנה!HA21</f>
        <v>1461059.6154596412</v>
      </c>
      <c r="E18" s="64"/>
      <c r="F18" s="291">
        <f t="shared" si="1"/>
        <v>0</v>
      </c>
      <c r="G18" s="47">
        <f>IF(OR(D18="",ISERR(E18/3),E18&lt;0),"",D18-פרמטרים!$E$64*E18)</f>
        <v>1461059.6154596412</v>
      </c>
      <c r="H18" s="127">
        <f>IF(B18="","",IF(F18=1,G18+(($E$39-E18)*פרמטרים!$E$64)*G18/(SUMIF(F$6:F$38,0,G$6:G$38)+G18),0))</f>
        <v>0</v>
      </c>
      <c r="I18" s="109">
        <f t="shared" si="2"/>
        <v>1.4784758390725397E-2</v>
      </c>
      <c r="J18" s="294">
        <f t="shared" si="0"/>
        <v>1461059.6154596407</v>
      </c>
    </row>
    <row r="19" spans="1:10">
      <c r="A19" s="80">
        <f>סיווג!A27</f>
        <v>14</v>
      </c>
      <c r="B19" s="81" t="str">
        <f>IF(סיווג!B27=0,"",סיווג!B27)</f>
        <v>הספרייה</v>
      </c>
      <c r="C19" s="292">
        <f>IF(B19="","",סיווג!X27)</f>
        <v>0.25</v>
      </c>
      <c r="D19" s="104">
        <f>הגנה!HA22</f>
        <v>837061.42974104895</v>
      </c>
      <c r="E19" s="64"/>
      <c r="F19" s="291">
        <f t="shared" si="1"/>
        <v>0</v>
      </c>
      <c r="G19" s="47">
        <f>IF(OR(D19="",ISERR(E19/3),E19&lt;0),"",D19-פרמטרים!$E$64*E19)</f>
        <v>837061.42974104895</v>
      </c>
      <c r="H19" s="127">
        <f>IF(B19="","",IF(F19=1,G19+(($E$39-E19)*פרמטרים!$E$64)*G19/(SUMIF(F$6:F$38,0,G$6:G$38)+G19),0))</f>
        <v>0</v>
      </c>
      <c r="I19" s="109">
        <f t="shared" si="2"/>
        <v>8.4703942713680643E-3</v>
      </c>
      <c r="J19" s="294">
        <f t="shared" si="0"/>
        <v>837061.42974104872</v>
      </c>
    </row>
    <row r="20" spans="1:10">
      <c r="A20" s="80">
        <f>סיווג!A28</f>
        <v>15</v>
      </c>
      <c r="B20" s="81" t="str">
        <f>IF(סיווג!B28=0,"",סיווג!B28)</f>
        <v>יפו</v>
      </c>
      <c r="C20" s="292">
        <f>IF(B20="","",סיווג!X28)</f>
        <v>0.25</v>
      </c>
      <c r="D20" s="104">
        <f>הגנה!HA23</f>
        <v>884608.93947083526</v>
      </c>
      <c r="E20" s="64"/>
      <c r="F20" s="291">
        <f t="shared" si="1"/>
        <v>0</v>
      </c>
      <c r="G20" s="47">
        <f>IF(OR(D20="",ISERR(E20/3),E20&lt;0),"",D20-פרמטרים!$E$64*E20)</f>
        <v>884608.93947083526</v>
      </c>
      <c r="H20" s="127">
        <f>IF(B20="","",IF(F20=1,G20+(($E$39-E20)*פרמטרים!$E$64)*G20/(SUMIF(F$6:F$38,0,G$6:G$38)+G20),0))</f>
        <v>0</v>
      </c>
      <c r="I20" s="109">
        <f t="shared" si="2"/>
        <v>8.9515371597192715E-3</v>
      </c>
      <c r="J20" s="294">
        <f t="shared" si="0"/>
        <v>884608.93947083503</v>
      </c>
    </row>
    <row r="21" spans="1:10">
      <c r="A21" s="80">
        <f>סיווג!A29</f>
        <v>16</v>
      </c>
      <c r="B21" s="81" t="str">
        <f>IF(סיווג!B29=0,"",סיווג!B29)</f>
        <v/>
      </c>
      <c r="C21" s="292" t="str">
        <f>IF(B21="","",סיווג!X29)</f>
        <v/>
      </c>
      <c r="D21" s="104" t="str">
        <f>הגנה!HA24</f>
        <v/>
      </c>
      <c r="E21" s="64"/>
      <c r="F21" s="291" t="str">
        <f t="shared" si="1"/>
        <v/>
      </c>
      <c r="G21" s="47" t="str">
        <f>IF(OR(D21="",ISERR(E21/3),E21&lt;0),"",D21-פרמטרים!$E$64*E21)</f>
        <v/>
      </c>
      <c r="H21" s="127" t="str">
        <f>IF(B21="","",IF(F21=1,G21+(($E$39-E21)*פרמטרים!$E$64)*G21/(SUMIF(F$6:F$38,0,G$6:G$38)+G21),0))</f>
        <v/>
      </c>
      <c r="I21" s="109" t="str">
        <f t="shared" si="2"/>
        <v/>
      </c>
      <c r="J21" s="294" t="str">
        <f t="shared" si="0"/>
        <v/>
      </c>
    </row>
    <row r="22" spans="1:10">
      <c r="A22" s="80">
        <f>סיווג!A30</f>
        <v>17</v>
      </c>
      <c r="B22" s="81" t="str">
        <f>IF(סיווג!B30=0,"",סיווג!B30)</f>
        <v>אינקובטור</v>
      </c>
      <c r="C22" s="292">
        <f>IF(B22="","",סיווג!X30)</f>
        <v>0.25</v>
      </c>
      <c r="D22" s="104">
        <f>הגנה!HA25</f>
        <v>1716973.8585251144</v>
      </c>
      <c r="E22" s="64"/>
      <c r="F22" s="291">
        <f t="shared" si="1"/>
        <v>0</v>
      </c>
      <c r="G22" s="47">
        <f>IF(OR(D22="",ISERR(E22/3),E22&lt;0),"",D22-פרמטרים!$E$64*E22)</f>
        <v>1716973.8585251144</v>
      </c>
      <c r="H22" s="127">
        <f>IF(B22="","",IF(F22=1,G22+(($E$39-E22)*פרמטרים!$E$64)*G22/(SUMIF(F$6:F$38,0,G$6:G$38)+G22),0))</f>
        <v>0</v>
      </c>
      <c r="I22" s="109">
        <f t="shared" si="2"/>
        <v>1.7374406487513074E-2</v>
      </c>
      <c r="J22" s="294">
        <f t="shared" si="0"/>
        <v>1716973.8585251139</v>
      </c>
    </row>
    <row r="23" spans="1:10">
      <c r="A23" s="80">
        <f>סיווג!A31</f>
        <v>18</v>
      </c>
      <c r="B23" s="81" t="str">
        <f>IF(סיווג!B31=0,"",סיווג!B31)</f>
        <v>אורנה פורת</v>
      </c>
      <c r="C23" s="292">
        <f>IF(B23="","",סיווג!X31)</f>
        <v>0.6</v>
      </c>
      <c r="D23" s="104">
        <f>הגנה!HA26</f>
        <v>5626477.9440924926</v>
      </c>
      <c r="E23" s="64"/>
      <c r="F23" s="291">
        <f t="shared" si="1"/>
        <v>0</v>
      </c>
      <c r="G23" s="47">
        <f>IF(OR(D23="",ISERR(E23/3),E23&lt;0),"",D23-פרמטרים!$E$64*E23)</f>
        <v>5626477.9440924926</v>
      </c>
      <c r="H23" s="127">
        <f>IF(B23="","",IF(F23=1,G23+(($E$39-E23)*פרמטרים!$E$64)*G23/(SUMIF(F$6:F$38,0,G$6:G$38)+G23),0))</f>
        <v>0</v>
      </c>
      <c r="I23" s="109">
        <f t="shared" si="2"/>
        <v>5.6935470745992089E-2</v>
      </c>
      <c r="J23" s="294">
        <f t="shared" si="0"/>
        <v>5626477.9440924907</v>
      </c>
    </row>
    <row r="24" spans="1:10">
      <c r="A24" s="80">
        <f>סיווג!A32</f>
        <v>19</v>
      </c>
      <c r="B24" s="81" t="str">
        <f>IF(סיווג!B32=0,"",סיווג!B32)</f>
        <v>ארצי לנוער</v>
      </c>
      <c r="C24" s="292">
        <f>IF(B24="","",סיווג!X32)</f>
        <v>0.6</v>
      </c>
      <c r="D24" s="104">
        <f>הגנה!HA27</f>
        <v>3948230.1374859489</v>
      </c>
      <c r="E24" s="64"/>
      <c r="F24" s="291">
        <f t="shared" si="1"/>
        <v>0</v>
      </c>
      <c r="G24" s="47">
        <f>IF(OR(D24="",ISERR(E24/3),E24&lt;0),"",D24-פרמטרים!$E$64*E24)</f>
        <v>3948230.1374859489</v>
      </c>
      <c r="H24" s="127">
        <f>IF(B24="","",IF(F24=1,G24+(($E$39-E24)*פרמטרים!$E$64)*G24/(SUMIF(F$6:F$38,0,G$6:G$38)+G24),0))</f>
        <v>0</v>
      </c>
      <c r="I24" s="109">
        <f t="shared" si="2"/>
        <v>3.9952941027218969E-2</v>
      </c>
      <c r="J24" s="294">
        <f t="shared" si="0"/>
        <v>3948230.1374859475</v>
      </c>
    </row>
    <row r="25" spans="1:10">
      <c r="A25" s="80">
        <f>סיווג!A33</f>
        <v>20</v>
      </c>
      <c r="B25" s="81" t="str">
        <f>IF(סיווג!B33=0,"",סיווג!B33)</f>
        <v>הקיבוץ</v>
      </c>
      <c r="C25" s="292">
        <f>IF(B25="","",סיווג!X33)</f>
        <v>0.2</v>
      </c>
      <c r="D25" s="104">
        <f>הגנה!HA28</f>
        <v>669099.40114112012</v>
      </c>
      <c r="E25" s="64"/>
      <c r="F25" s="291">
        <f t="shared" si="1"/>
        <v>0</v>
      </c>
      <c r="G25" s="47">
        <f>IF(OR(D25="",ISERR(E25/3),E25&lt;0),"",D25-פרמטרים!$E$64*E25)</f>
        <v>669099.40114112012</v>
      </c>
      <c r="H25" s="127">
        <f>IF(B25="","",IF(F25=1,G25+(($E$39-E25)*פרמטרים!$E$64)*G25/(SUMIF(F$6:F$38,0,G$6:G$38)+G25),0))</f>
        <v>0</v>
      </c>
      <c r="I25" s="109">
        <f t="shared" si="2"/>
        <v>6.7707524597744742E-3</v>
      </c>
      <c r="J25" s="294">
        <f t="shared" si="0"/>
        <v>669099.40114111989</v>
      </c>
    </row>
    <row r="26" spans="1:10">
      <c r="A26" s="80">
        <f>סיווג!A34</f>
        <v>21</v>
      </c>
      <c r="B26" s="81" t="str">
        <f>IF(סיווג!B34=0,"",סיווג!B34)</f>
        <v>הקרון</v>
      </c>
      <c r="C26" s="292">
        <f>IF(B26="","",סיווג!X34)</f>
        <v>0.2</v>
      </c>
      <c r="D26" s="104">
        <f>הגנה!HA29</f>
        <v>2177354.3194026765</v>
      </c>
      <c r="E26" s="64"/>
      <c r="F26" s="291">
        <f t="shared" si="1"/>
        <v>0</v>
      </c>
      <c r="G26" s="47">
        <f>IF(OR(D26="",ISERR(E26/3),E26&lt;0),"",D26-פרמטרים!$E$64*E26)</f>
        <v>2177354.3194026765</v>
      </c>
      <c r="H26" s="127">
        <f>IF(B26="","",IF(F26=1,G26+(($E$39-E26)*פרמטרים!$E$64)*G26/(SUMIF(F$6:F$38,0,G$6:G$38)+G26),0))</f>
        <v>0</v>
      </c>
      <c r="I26" s="109">
        <f t="shared" si="2"/>
        <v>2.2033089685559198E-2</v>
      </c>
      <c r="J26" s="294">
        <f t="shared" si="0"/>
        <v>2177354.3194026761</v>
      </c>
    </row>
    <row r="27" spans="1:10">
      <c r="A27" s="80">
        <f>סיווג!A35</f>
        <v>22</v>
      </c>
      <c r="B27" s="81" t="str">
        <f>IF(סיווג!B35=0,"",סיווג!B35)</f>
        <v>בית הגפן</v>
      </c>
      <c r="C27" s="292">
        <f>IF(B27="","",סיווג!X35)</f>
        <v>0.2</v>
      </c>
      <c r="D27" s="104">
        <f>הגנה!HA30</f>
        <v>1226349.0597766</v>
      </c>
      <c r="E27" s="64"/>
      <c r="F27" s="291">
        <f t="shared" si="1"/>
        <v>0</v>
      </c>
      <c r="G27" s="47">
        <f>IF(OR(D27="",ISERR(E27/3),E27&lt;0),"",D27-פרמטרים!$E$64*E27)</f>
        <v>1226349.0597766</v>
      </c>
      <c r="H27" s="127">
        <f>IF(B27="","",IF(F27=1,G27+(($E$39-E27)*פרמטרים!$E$64)*G27/(SUMIF(F$6:F$38,0,G$6:G$38)+G27),0))</f>
        <v>0</v>
      </c>
      <c r="I27" s="109">
        <f t="shared" si="2"/>
        <v>1.2409674704331821E-2</v>
      </c>
      <c r="J27" s="294">
        <f t="shared" si="0"/>
        <v>1226349.0597765995</v>
      </c>
    </row>
    <row r="28" spans="1:10">
      <c r="A28" s="80">
        <f>סיווג!A36</f>
        <v>23</v>
      </c>
      <c r="B28" s="81" t="str">
        <f>IF(סיווג!B36=0,"",סיווג!B36)</f>
        <v>הנפש</v>
      </c>
      <c r="C28" s="292">
        <f>IF(B28="","",סיווג!X36)</f>
        <v>0.2</v>
      </c>
      <c r="D28" s="104">
        <f>הגנה!HA31</f>
        <v>816394.59543906734</v>
      </c>
      <c r="E28" s="64"/>
      <c r="F28" s="291">
        <f t="shared" si="1"/>
        <v>0</v>
      </c>
      <c r="G28" s="47">
        <f>IF(OR(D28="",ISERR(E28/3),E28&lt;0),"",D28-פרמטרים!$E$64*E28)</f>
        <v>816394.59543906734</v>
      </c>
      <c r="H28" s="127">
        <f>IF(B28="","",IF(F28=1,G28+(($E$39-E28)*פרמטרים!$E$64)*G28/(SUMIF(F$6:F$38,0,G$6:G$38)+G28),0))</f>
        <v>0</v>
      </c>
      <c r="I28" s="109">
        <f t="shared" si="2"/>
        <v>8.2612623861096877E-3</v>
      </c>
      <c r="J28" s="294">
        <f t="shared" si="0"/>
        <v>816394.59543906723</v>
      </c>
    </row>
    <row r="29" spans="1:10">
      <c r="A29" s="80">
        <f>סיווג!A37</f>
        <v>24</v>
      </c>
      <c r="B29" s="81" t="str">
        <f>IF(סיווג!B37=0,"",סיווג!B37)</f>
        <v>השעה</v>
      </c>
      <c r="C29" s="292">
        <f>IF(B29="","",סיווג!X37)</f>
        <v>0.6</v>
      </c>
      <c r="D29" s="104">
        <f>הגנה!HA32</f>
        <v>3990025.8830935741</v>
      </c>
      <c r="E29" s="64"/>
      <c r="F29" s="291">
        <f t="shared" si="1"/>
        <v>0</v>
      </c>
      <c r="G29" s="47">
        <f>IF(OR(D29="",ISERR(E29/3),E29&lt;0),"",D29-פרמטרים!$E$64*E29)</f>
        <v>3990025.8830935741</v>
      </c>
      <c r="H29" s="127">
        <f>IF(B29="","",IF(F29=1,G29+(($E$39-E29)*פרמטרים!$E$64)*G29/(SUMIF(F$6:F$38,0,G$6:G$38)+G29),0))</f>
        <v>0</v>
      </c>
      <c r="I29" s="109">
        <f t="shared" si="2"/>
        <v>4.0375880648594077E-2</v>
      </c>
      <c r="J29" s="294">
        <f t="shared" si="0"/>
        <v>3990025.8830935732</v>
      </c>
    </row>
    <row r="30" spans="1:10">
      <c r="A30" s="80">
        <f>סיווג!A38</f>
        <v>25</v>
      </c>
      <c r="B30" s="81" t="str">
        <f>IF(סיווג!B38=0,"",סיווג!B38)</f>
        <v>עדי</v>
      </c>
      <c r="C30" s="292">
        <f>IF(B30="","",סיווג!X38)</f>
        <v>0.2</v>
      </c>
      <c r="D30" s="104">
        <f>הגנה!HA33</f>
        <v>429067.33854879311</v>
      </c>
      <c r="E30" s="64"/>
      <c r="F30" s="291">
        <f t="shared" si="1"/>
        <v>0</v>
      </c>
      <c r="G30" s="47">
        <f>IF(OR(D30="",ISERR(E30/3),E30&lt;0),"",D30-פרמטרים!$E$64*E30)</f>
        <v>429067.33854879311</v>
      </c>
      <c r="H30" s="127">
        <f>IF(B30="","",IF(F30=1,G30+(($E$39-E30)*פרמטרים!$E$64)*G30/(SUMIF(F$6:F$38,0,G$6:G$38)+G30),0))</f>
        <v>0</v>
      </c>
      <c r="I30" s="109">
        <f t="shared" si="2"/>
        <v>4.3418193663506358E-3</v>
      </c>
      <c r="J30" s="294">
        <f t="shared" si="0"/>
        <v>429067.33854879293</v>
      </c>
    </row>
    <row r="31" spans="1:10">
      <c r="A31" s="80">
        <f>סיווג!A39</f>
        <v>26</v>
      </c>
      <c r="B31" s="81" t="str">
        <f>IF(סיווג!B39=0,"",סיווג!B39)</f>
        <v>מדייטק</v>
      </c>
      <c r="C31" s="292">
        <f>IF(B31="","",סיווג!X39)</f>
        <v>0.4</v>
      </c>
      <c r="D31" s="104">
        <f>הגנה!HA34</f>
        <v>1792774.9027438888</v>
      </c>
      <c r="E31" s="64"/>
      <c r="F31" s="291">
        <f t="shared" si="1"/>
        <v>0</v>
      </c>
      <c r="G31" s="47">
        <f>IF(OR(D31="",ISERR(E31/3),E31&lt;0),"",D31-פרמטרים!$E$64*E31)</f>
        <v>1792774.9027438888</v>
      </c>
      <c r="H31" s="127">
        <f>IF(B31="","",IF(F31=1,G31+(($E$39-E31)*פרמטרים!$E$64)*G31/(SUMIF(F$6:F$38,0,G$6:G$38)+G31),0))</f>
        <v>0</v>
      </c>
      <c r="I31" s="109">
        <f t="shared" si="2"/>
        <v>1.814145261806176E-2</v>
      </c>
      <c r="J31" s="294">
        <f t="shared" si="0"/>
        <v>1792774.9027438883</v>
      </c>
    </row>
    <row r="32" spans="1:10">
      <c r="A32" s="80">
        <f>סיווג!A40</f>
        <v>27</v>
      </c>
      <c r="B32" s="81" t="str">
        <f>IF(סיווג!B40=0,"",סיווג!B40)</f>
        <v>חני</v>
      </c>
      <c r="C32" s="292">
        <f>IF(B32="","",סיווג!X40)</f>
        <v>0.2</v>
      </c>
      <c r="D32" s="104">
        <f>הגנה!HA35</f>
        <v>424824.66001996904</v>
      </c>
      <c r="E32" s="64"/>
      <c r="F32" s="291">
        <f t="shared" si="1"/>
        <v>0</v>
      </c>
      <c r="G32" s="47">
        <f>IF(OR(D32="",ISERR(E32/3),E32&lt;0),"",D32-פרמטרים!$E$64*E32)</f>
        <v>424824.66001996904</v>
      </c>
      <c r="H32" s="127">
        <f>IF(B32="","",IF(F32=1,G32+(($E$39-E32)*פרמטרים!$E$64)*G32/(SUMIF(F$6:F$38,0,G$6:G$38)+G32),0))</f>
        <v>0</v>
      </c>
      <c r="I32" s="109">
        <f t="shared" si="2"/>
        <v>4.2988868423697799E-3</v>
      </c>
      <c r="J32" s="294">
        <f t="shared" si="0"/>
        <v>424824.66001996893</v>
      </c>
    </row>
    <row r="33" spans="1:10">
      <c r="A33" s="80">
        <f>סיווג!A41</f>
        <v>28</v>
      </c>
      <c r="B33" s="81" t="str">
        <f>IF(סיווג!B41=0,"",סיווג!B41)</f>
        <v xml:space="preserve">גשן </v>
      </c>
      <c r="C33" s="292">
        <f>IF(B33="","",סיווג!X41)</f>
        <v>0.2</v>
      </c>
      <c r="D33" s="104">
        <f>הגנה!HA36</f>
        <v>818297.73546136054</v>
      </c>
      <c r="E33" s="64"/>
      <c r="F33" s="291">
        <f t="shared" si="1"/>
        <v>0</v>
      </c>
      <c r="G33" s="47">
        <f>IF(OR(D33="",ISERR(E33/3),E33&lt;0),"",D33-פרמטרים!$E$64*E33)</f>
        <v>818297.73546136054</v>
      </c>
      <c r="H33" s="127">
        <f>IF(B33="","",IF(F33=1,G33+(($E$39-E33)*פרמטרים!$E$64)*G33/(SUMIF(F$6:F$38,0,G$6:G$38)+G33),0))</f>
        <v>0</v>
      </c>
      <c r="I33" s="109">
        <f t="shared" si="2"/>
        <v>8.2805206457423532E-3</v>
      </c>
      <c r="J33" s="294">
        <f t="shared" si="0"/>
        <v>818297.73546136031</v>
      </c>
    </row>
    <row r="34" spans="1:10">
      <c r="A34" s="80">
        <f>סיווג!A42</f>
        <v>29</v>
      </c>
      <c r="B34" s="81" t="str">
        <f>IF(סיווג!B42=0,"",סיווג!B42)</f>
        <v>תיאטרון העברי</v>
      </c>
      <c r="C34" s="292">
        <f>IF(B34="","",סיווג!X42)</f>
        <v>0.25</v>
      </c>
      <c r="D34" s="104">
        <f>הגנה!HA37</f>
        <v>649286.21913463681</v>
      </c>
      <c r="E34" s="64"/>
      <c r="F34" s="291">
        <f t="shared" si="1"/>
        <v>0</v>
      </c>
      <c r="G34" s="47">
        <f>IF(OR(D34="",ISERR(E34/3),E34&lt;0),"",D34-פרמטרים!$E$64*E34)</f>
        <v>649286.21913463681</v>
      </c>
      <c r="H34" s="127">
        <f>IF(B34="","",IF(F34=1,G34+(($E$39-E34)*פרמטרים!$E$64)*G34/(SUMIF(F$6:F$38,0,G$6:G$38)+G34),0))</f>
        <v>0</v>
      </c>
      <c r="I34" s="109">
        <f t="shared" si="2"/>
        <v>6.5702588551208637E-3</v>
      </c>
      <c r="J34" s="294">
        <f t="shared" si="0"/>
        <v>649286.21913463669</v>
      </c>
    </row>
    <row r="35" spans="1:10">
      <c r="A35" s="80">
        <f>סיווג!A43</f>
        <v>30</v>
      </c>
      <c r="B35" s="81" t="str">
        <f>IF(סיווג!B43=0,"",סיווג!B43)</f>
        <v>גליון ריק 2</v>
      </c>
      <c r="C35" s="292">
        <f>IF(B35="","",סיווג!X43)</f>
        <v>0</v>
      </c>
      <c r="D35" s="104">
        <f>הגנה!HA38</f>
        <v>0</v>
      </c>
      <c r="E35" s="64"/>
      <c r="F35" s="291">
        <f t="shared" si="1"/>
        <v>0</v>
      </c>
      <c r="G35" s="47">
        <f>IF(OR(D35="",ISERR(E35/3),E35&lt;0),"",D35-פרמטרים!$E$64*E35)</f>
        <v>0</v>
      </c>
      <c r="H35" s="127">
        <f>IF(B35="","",IF(F35=1,G35+(($E$39-E35)*פרמטרים!$E$64)*G35/(SUMIF(F$6:F$38,0,G$6:G$38)+G35),0))</f>
        <v>0</v>
      </c>
      <c r="I35" s="109">
        <f t="shared" si="2"/>
        <v>0</v>
      </c>
      <c r="J35" s="294">
        <f t="shared" si="0"/>
        <v>0</v>
      </c>
    </row>
    <row r="36" spans="1:10">
      <c r="A36" s="80">
        <f>סיווג!A44</f>
        <v>31</v>
      </c>
      <c r="B36" s="81" t="str">
        <f>IF(סיווג!B44=0,"",סיווג!B44)</f>
        <v>גליון ריק 3</v>
      </c>
      <c r="C36" s="292">
        <f>IF(B36="","",סיווג!X44)</f>
        <v>0</v>
      </c>
      <c r="D36" s="104">
        <f>הגנה!HA39</f>
        <v>0</v>
      </c>
      <c r="E36" s="64"/>
      <c r="F36" s="291">
        <f t="shared" si="1"/>
        <v>0</v>
      </c>
      <c r="G36" s="47">
        <f>IF(OR(D36="",ISERR(E36/3),E36&lt;0),"",D36-פרמטרים!$E$64*E36)</f>
        <v>0</v>
      </c>
      <c r="H36" s="127">
        <f>IF(B36="","",IF(F36=1,G36+(($E$39-E36)*פרמטרים!$E$64)*G36/(SUMIF(F$6:F$38,0,G$6:G$38)+G36),0))</f>
        <v>0</v>
      </c>
      <c r="I36" s="109">
        <f t="shared" si="2"/>
        <v>0</v>
      </c>
      <c r="J36" s="294">
        <f t="shared" si="0"/>
        <v>0</v>
      </c>
    </row>
    <row r="37" spans="1:10">
      <c r="A37" s="80">
        <f>סיווג!A45</f>
        <v>32</v>
      </c>
      <c r="B37" s="81" t="str">
        <f>IF(סיווג!B45=0,"",סיווג!B45)</f>
        <v/>
      </c>
      <c r="C37" s="292" t="str">
        <f>IF(B37="","",סיווג!X45)</f>
        <v/>
      </c>
      <c r="D37" s="104" t="str">
        <f>הגנה!HA40</f>
        <v/>
      </c>
      <c r="E37" s="64"/>
      <c r="F37" s="291" t="str">
        <f t="shared" si="1"/>
        <v/>
      </c>
      <c r="G37" s="47" t="str">
        <f>IF(OR(D37="",ISERR(E37/3),E37&lt;0),"",D37-פרמטרים!$E$64*E37)</f>
        <v/>
      </c>
      <c r="H37" s="127" t="str">
        <f>IF(B37="","",IF(F37=1,G37+(($E$39-E37)*פרמטרים!$E$64)*G37/(SUMIF(F$6:F$38,0,G$6:G$38)+G37),0))</f>
        <v/>
      </c>
      <c r="I37" s="109" t="str">
        <f t="shared" si="2"/>
        <v/>
      </c>
      <c r="J37" s="294" t="str">
        <f t="shared" si="0"/>
        <v/>
      </c>
    </row>
    <row r="38" spans="1:10" ht="13.5" thickBot="1">
      <c r="A38" s="82">
        <f>סיווג!A46</f>
        <v>33</v>
      </c>
      <c r="B38" s="83" t="str">
        <f>IF(סיווג!B46=0,"",סיווג!B46)</f>
        <v/>
      </c>
      <c r="C38" s="292" t="str">
        <f>IF(B38="","",סיווג!X46)</f>
        <v/>
      </c>
      <c r="D38" s="104" t="str">
        <f>הגנה!HA41</f>
        <v/>
      </c>
      <c r="E38" s="65"/>
      <c r="F38" s="291" t="str">
        <f t="shared" si="1"/>
        <v/>
      </c>
      <c r="G38" s="47" t="str">
        <f>IF(OR(D38="",ISERR(E38/3),E38&lt;0),"",D38-פרמטרים!$E$64*E38)</f>
        <v/>
      </c>
      <c r="H38" s="127" t="str">
        <f>IF(B38="","",IF(F38=1,G38+(($E$39-E38)*פרמטרים!$E$64)*G38/(SUMIF(F$6:F$38,0,G$6:G$38)+G38),0))</f>
        <v/>
      </c>
      <c r="I38" s="109" t="str">
        <f t="shared" si="2"/>
        <v/>
      </c>
      <c r="J38" s="294" t="str">
        <f t="shared" si="0"/>
        <v/>
      </c>
    </row>
    <row r="39" spans="1:10" ht="14.25" thickTop="1" thickBot="1">
      <c r="A39" s="618" t="s">
        <v>26</v>
      </c>
      <c r="B39" s="635"/>
      <c r="C39" s="619"/>
      <c r="D39" s="43">
        <f>SUM(D6:D38)</f>
        <v>98822015.00000003</v>
      </c>
      <c r="E39" s="43">
        <f>SUM(E6:E38)</f>
        <v>0</v>
      </c>
      <c r="F39" s="43"/>
      <c r="G39" s="43">
        <f>SUM(G6:G38)</f>
        <v>98822015.00000003</v>
      </c>
      <c r="H39" s="42">
        <f>SUM(H6:H38)</f>
        <v>0</v>
      </c>
      <c r="I39" s="42"/>
      <c r="J39" s="42">
        <f>SUM(J6:J38)</f>
        <v>98822014.999999985</v>
      </c>
    </row>
    <row r="40" spans="1:10" ht="13.5" thickTop="1"/>
    <row r="41" spans="1:10">
      <c r="E41" s="293"/>
      <c r="G41" s="293"/>
    </row>
  </sheetData>
  <sheetProtection password="CC01" sheet="1" objects="1" scenarios="1" formatColumns="0" formatRows="0"/>
  <mergeCells count="4">
    <mergeCell ref="A39:C39"/>
    <mergeCell ref="B1:C1"/>
    <mergeCell ref="B2:C2"/>
    <mergeCell ref="A4:J4"/>
  </mergeCells>
  <phoneticPr fontId="5" type="noConversion"/>
  <conditionalFormatting sqref="E30:E38">
    <cfRule type="expression" dxfId="61" priority="2" stopIfTrue="1">
      <formula>G30=""</formula>
    </cfRule>
  </conditionalFormatting>
  <conditionalFormatting sqref="F6:F38">
    <cfRule type="expression" dxfId="60" priority="28" stopIfTrue="1">
      <formula>#REF!=""</formula>
    </cfRule>
  </conditionalFormatting>
  <conditionalFormatting sqref="E12 E14:E29 E6:E10">
    <cfRule type="expression" dxfId="59" priority="1" stopIfTrue="1">
      <formula>G6=""</formula>
    </cfRule>
  </conditionalFormatting>
  <dataValidations count="2">
    <dataValidation type="decimal" errorStyle="warning" operator="greaterThanOrEqual" allowBlank="1" showInputMessage="1" showErrorMessage="1" errorTitle="טעות בהזנה" error="יש להזין סכום שאינו שלילי" sqref="E6:E38">
      <formula1>0</formula1>
    </dataValidation>
    <dataValidation errorStyle="warning" operator="greaterThanOrEqual" allowBlank="1" showInputMessage="1" showErrorMessage="1" errorTitle="טעות בהזנה" error="יש להזין סכום שאינו שלילי" sqref="F6:F38"/>
  </dataValidations>
  <printOptions horizontalCentered="1"/>
  <pageMargins left="0.19685039370078741" right="0.19685039370078741" top="0.78740157480314965" bottom="0.59055118110236227" header="0.19685039370078741" footer="0.19685039370078741"/>
  <pageSetup paperSize="9" scale="85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0"/>
    <pageSetUpPr fitToPage="1"/>
  </sheetPr>
  <dimension ref="A1:Q77"/>
  <sheetViews>
    <sheetView rightToLeft="1" view="pageBreakPreview" zoomScale="75" zoomScaleNormal="77" workbookViewId="0">
      <selection activeCell="D2" sqref="D2"/>
    </sheetView>
  </sheetViews>
  <sheetFormatPr defaultColWidth="9.140625" defaultRowHeight="12.75"/>
  <cols>
    <col min="1" max="1" width="36.5703125" style="111" bestFit="1" customWidth="1"/>
    <col min="2" max="2" width="34.28515625" style="111" bestFit="1" customWidth="1"/>
    <col min="3" max="3" width="17.42578125" style="111" bestFit="1" customWidth="1"/>
    <col min="4" max="4" width="26.28515625" style="111" customWidth="1"/>
    <col min="5" max="5" width="22.42578125" style="111" customWidth="1"/>
    <col min="6" max="6" width="14.140625" style="111" bestFit="1" customWidth="1"/>
    <col min="7" max="7" width="43.5703125" style="111" customWidth="1"/>
    <col min="8" max="9" width="38.5703125" style="111" customWidth="1"/>
    <col min="10" max="10" width="10.42578125" style="111" customWidth="1"/>
    <col min="11" max="12" width="20.7109375" style="111" hidden="1" customWidth="1"/>
    <col min="13" max="13" width="6" style="111" hidden="1" customWidth="1"/>
    <col min="14" max="14" width="12.7109375" style="111" hidden="1" customWidth="1"/>
    <col min="15" max="15" width="13.140625" style="111" hidden="1" customWidth="1"/>
    <col min="16" max="16" width="15.7109375" style="111" hidden="1" customWidth="1"/>
    <col min="17" max="17" width="15.140625" style="111" hidden="1" customWidth="1"/>
    <col min="18" max="16384" width="9.140625" style="111"/>
  </cols>
  <sheetData>
    <row r="1" spans="1:17" ht="17.25" thickTop="1" thickBot="1">
      <c r="B1" s="575" t="s">
        <v>148</v>
      </c>
      <c r="C1" s="576"/>
      <c r="D1" s="262">
        <v>2018</v>
      </c>
    </row>
    <row r="2" spans="1:17" ht="19.5" thickBot="1">
      <c r="B2" s="577" t="s">
        <v>114</v>
      </c>
      <c r="C2" s="578"/>
      <c r="D2" s="346">
        <f>98980451-158436</f>
        <v>98822015</v>
      </c>
    </row>
    <row r="3" spans="1:17" s="344" customFormat="1" ht="20.25" thickTop="1" thickBot="1">
      <c r="A3" s="345" t="s">
        <v>273</v>
      </c>
      <c r="B3" s="577" t="s">
        <v>274</v>
      </c>
      <c r="C3" s="578"/>
      <c r="D3" s="346">
        <v>96733016</v>
      </c>
    </row>
    <row r="4" spans="1:17" s="344" customFormat="1" ht="14.25" thickTop="1" thickBot="1">
      <c r="A4" s="345"/>
      <c r="B4" s="345"/>
      <c r="C4" s="345"/>
      <c r="D4" s="345"/>
    </row>
    <row r="5" spans="1:17" ht="19.5" thickTop="1" thickBot="1">
      <c r="A5" s="552" t="s">
        <v>195</v>
      </c>
      <c r="B5" s="553"/>
    </row>
    <row r="6" spans="1:17" ht="17.25" thickTop="1" thickBot="1">
      <c r="A6" s="579" t="s">
        <v>21</v>
      </c>
      <c r="B6" s="580"/>
      <c r="E6" s="276"/>
    </row>
    <row r="7" spans="1:17" ht="18.75" thickBot="1">
      <c r="A7" s="156" t="s">
        <v>11</v>
      </c>
      <c r="B7" s="157" t="s">
        <v>21</v>
      </c>
      <c r="C7" s="158"/>
      <c r="K7" s="158"/>
    </row>
    <row r="8" spans="1:17" ht="16.5" thickBot="1">
      <c r="A8" s="159" t="s">
        <v>12</v>
      </c>
      <c r="B8" s="160">
        <v>1</v>
      </c>
      <c r="K8" s="161"/>
    </row>
    <row r="9" spans="1:17" ht="19.5" thickTop="1" thickBot="1">
      <c r="A9" s="162" t="s">
        <v>13</v>
      </c>
      <c r="B9" s="163">
        <v>0.8</v>
      </c>
      <c r="C9" s="164"/>
      <c r="D9" s="165"/>
      <c r="E9" s="164"/>
      <c r="F9" s="165"/>
      <c r="G9" s="164"/>
      <c r="H9" s="164"/>
      <c r="I9" s="164"/>
      <c r="J9" s="164"/>
      <c r="K9" s="552" t="s">
        <v>147</v>
      </c>
      <c r="L9" s="568"/>
      <c r="M9" s="553"/>
      <c r="O9" s="546" t="s">
        <v>79</v>
      </c>
      <c r="P9" s="547"/>
      <c r="Q9" s="548"/>
    </row>
    <row r="10" spans="1:17" ht="19.5" thickTop="1" thickBot="1">
      <c r="A10" s="162" t="s">
        <v>16</v>
      </c>
      <c r="B10" s="163">
        <v>0.25</v>
      </c>
      <c r="C10" s="166"/>
      <c r="D10" s="165"/>
      <c r="J10" s="167"/>
      <c r="K10" s="585" t="s">
        <v>18</v>
      </c>
      <c r="L10" s="586"/>
      <c r="M10" s="587"/>
      <c r="O10" s="549" t="s">
        <v>18</v>
      </c>
      <c r="P10" s="550"/>
      <c r="Q10" s="551"/>
    </row>
    <row r="11" spans="1:17" ht="33" thickTop="1" thickBot="1">
      <c r="A11" s="162" t="s">
        <v>17</v>
      </c>
      <c r="B11" s="163">
        <v>0.6</v>
      </c>
      <c r="C11" s="166"/>
      <c r="D11" s="165"/>
      <c r="E11" s="581" t="s">
        <v>192</v>
      </c>
      <c r="F11" s="582"/>
      <c r="J11" s="167"/>
      <c r="K11" s="563" t="s">
        <v>73</v>
      </c>
      <c r="L11" s="564"/>
      <c r="M11" s="157" t="s">
        <v>43</v>
      </c>
      <c r="O11" s="156" t="s">
        <v>73</v>
      </c>
      <c r="P11" s="169" t="s">
        <v>78</v>
      </c>
      <c r="Q11" s="157" t="s">
        <v>43</v>
      </c>
    </row>
    <row r="12" spans="1:17" ht="17.25" thickTop="1" thickBot="1">
      <c r="A12" s="162" t="s">
        <v>14</v>
      </c>
      <c r="B12" s="163">
        <v>0.4</v>
      </c>
      <c r="C12" s="166"/>
      <c r="D12" s="165"/>
      <c r="E12" s="138" t="s">
        <v>193</v>
      </c>
      <c r="F12" s="139" t="s">
        <v>194</v>
      </c>
      <c r="G12" s="170"/>
      <c r="H12" s="170"/>
      <c r="I12" s="170"/>
      <c r="J12" s="167"/>
      <c r="K12" s="565" t="s">
        <v>89</v>
      </c>
      <c r="L12" s="566"/>
      <c r="M12" s="171">
        <v>1</v>
      </c>
      <c r="O12" s="172" t="s">
        <v>76</v>
      </c>
      <c r="P12" s="173">
        <v>1</v>
      </c>
      <c r="Q12" s="174">
        <v>1</v>
      </c>
    </row>
    <row r="13" spans="1:17" ht="16.5" thickBot="1">
      <c r="A13" s="162" t="s">
        <v>15</v>
      </c>
      <c r="B13" s="163">
        <v>0.2</v>
      </c>
      <c r="C13" s="166"/>
      <c r="D13" s="165"/>
      <c r="E13" s="175" t="s">
        <v>92</v>
      </c>
      <c r="F13" s="280">
        <v>0.23</v>
      </c>
      <c r="G13" s="170"/>
      <c r="H13" s="170"/>
      <c r="I13" s="170"/>
      <c r="K13" s="558" t="s">
        <v>90</v>
      </c>
      <c r="L13" s="559"/>
      <c r="M13" s="176">
        <v>2</v>
      </c>
      <c r="O13" s="177" t="s">
        <v>77</v>
      </c>
      <c r="P13" s="178">
        <v>1</v>
      </c>
      <c r="Q13" s="179">
        <v>2</v>
      </c>
    </row>
    <row r="14" spans="1:17" ht="17.25" thickTop="1" thickBot="1">
      <c r="A14" s="180" t="s">
        <v>210</v>
      </c>
      <c r="B14" s="181">
        <v>0</v>
      </c>
      <c r="C14" s="166"/>
      <c r="D14" s="165"/>
      <c r="E14" s="182" t="s">
        <v>93</v>
      </c>
      <c r="F14" s="281">
        <v>0.11</v>
      </c>
      <c r="G14" s="170"/>
      <c r="H14" s="170"/>
      <c r="I14" s="170"/>
      <c r="K14" s="183"/>
      <c r="L14" s="184"/>
      <c r="M14" s="185"/>
      <c r="O14" s="183"/>
      <c r="P14" s="185"/>
      <c r="Q14" s="185"/>
    </row>
    <row r="15" spans="1:17" ht="17.25" thickTop="1" thickBot="1">
      <c r="D15" s="165"/>
      <c r="E15" s="182" t="s">
        <v>94</v>
      </c>
      <c r="F15" s="281">
        <v>0.08</v>
      </c>
      <c r="K15" s="186"/>
    </row>
    <row r="16" spans="1:17" ht="19.5" thickTop="1" thickBot="1">
      <c r="A16" s="546" t="s">
        <v>40</v>
      </c>
      <c r="B16" s="547"/>
      <c r="C16" s="548"/>
      <c r="D16" s="165"/>
      <c r="E16" s="182" t="s">
        <v>95</v>
      </c>
      <c r="F16" s="281">
        <v>0.17499999999999999</v>
      </c>
      <c r="J16" s="186"/>
      <c r="K16" s="546" t="s">
        <v>75</v>
      </c>
      <c r="L16" s="547"/>
      <c r="M16" s="548"/>
      <c r="O16" s="552" t="s">
        <v>144</v>
      </c>
      <c r="P16" s="568"/>
      <c r="Q16" s="553"/>
    </row>
    <row r="17" spans="1:17" ht="17.25" thickTop="1" thickBot="1">
      <c r="A17" s="549" t="s">
        <v>44</v>
      </c>
      <c r="B17" s="550"/>
      <c r="C17" s="551"/>
      <c r="E17" s="182" t="s">
        <v>96</v>
      </c>
      <c r="F17" s="281">
        <v>2.5000000000000001E-2</v>
      </c>
      <c r="J17" s="187"/>
      <c r="K17" s="549" t="s">
        <v>18</v>
      </c>
      <c r="L17" s="550"/>
      <c r="M17" s="551"/>
      <c r="O17" s="560" t="s">
        <v>18</v>
      </c>
      <c r="P17" s="561"/>
      <c r="Q17" s="562"/>
    </row>
    <row r="18" spans="1:17" ht="17.25" thickTop="1" thickBot="1">
      <c r="A18" s="8" t="s">
        <v>30</v>
      </c>
      <c r="B18" s="9" t="s">
        <v>42</v>
      </c>
      <c r="C18" s="10" t="s">
        <v>35</v>
      </c>
      <c r="E18" s="182" t="s">
        <v>237</v>
      </c>
      <c r="F18" s="281">
        <v>0.05</v>
      </c>
      <c r="K18" s="563" t="s">
        <v>73</v>
      </c>
      <c r="L18" s="564"/>
      <c r="M18" s="157" t="s">
        <v>43</v>
      </c>
      <c r="O18" s="563" t="s">
        <v>73</v>
      </c>
      <c r="P18" s="564"/>
      <c r="Q18" s="157" t="s">
        <v>43</v>
      </c>
    </row>
    <row r="19" spans="1:17" ht="15.75">
      <c r="A19" s="188" t="s">
        <v>36</v>
      </c>
      <c r="B19" s="189" t="s">
        <v>31</v>
      </c>
      <c r="C19" s="190">
        <v>0</v>
      </c>
      <c r="E19" s="182" t="s">
        <v>98</v>
      </c>
      <c r="F19" s="281">
        <v>0.11</v>
      </c>
      <c r="K19" s="569" t="s">
        <v>74</v>
      </c>
      <c r="L19" s="570"/>
      <c r="M19" s="573">
        <v>1</v>
      </c>
      <c r="O19" s="565" t="s">
        <v>145</v>
      </c>
      <c r="P19" s="566"/>
      <c r="Q19" s="171">
        <v>1</v>
      </c>
    </row>
    <row r="20" spans="1:17" ht="26.25" thickBot="1">
      <c r="A20" s="191" t="s">
        <v>37</v>
      </c>
      <c r="B20" s="192" t="s">
        <v>32</v>
      </c>
      <c r="C20" s="193">
        <v>1</v>
      </c>
      <c r="E20" s="182" t="s">
        <v>99</v>
      </c>
      <c r="F20" s="281">
        <v>0.1</v>
      </c>
      <c r="K20" s="571"/>
      <c r="L20" s="572"/>
      <c r="M20" s="574"/>
      <c r="O20" s="558" t="s">
        <v>146</v>
      </c>
      <c r="P20" s="559"/>
      <c r="Q20" s="176">
        <v>2</v>
      </c>
    </row>
    <row r="21" spans="1:17" ht="17.25" thickTop="1" thickBot="1">
      <c r="A21" s="191" t="s">
        <v>38</v>
      </c>
      <c r="B21" s="192" t="s">
        <v>33</v>
      </c>
      <c r="C21" s="193">
        <v>2</v>
      </c>
      <c r="E21" s="182" t="s">
        <v>100</v>
      </c>
      <c r="F21" s="281">
        <v>0.04</v>
      </c>
    </row>
    <row r="22" spans="1:17" ht="27" thickTop="1" thickBot="1">
      <c r="A22" s="194" t="s">
        <v>39</v>
      </c>
      <c r="B22" s="178" t="s">
        <v>34</v>
      </c>
      <c r="C22" s="179">
        <v>3</v>
      </c>
      <c r="E22" s="182" t="s">
        <v>101</v>
      </c>
      <c r="F22" s="281">
        <v>0.04</v>
      </c>
      <c r="K22" s="552" t="s">
        <v>80</v>
      </c>
      <c r="L22" s="568"/>
      <c r="M22" s="553"/>
      <c r="O22" s="552" t="s">
        <v>86</v>
      </c>
      <c r="P22" s="568"/>
      <c r="Q22" s="553"/>
    </row>
    <row r="23" spans="1:17" ht="17.25" thickTop="1" thickBot="1">
      <c r="A23" s="194" t="s">
        <v>238</v>
      </c>
      <c r="B23" s="178"/>
      <c r="C23" s="179">
        <v>3</v>
      </c>
      <c r="E23" s="195" t="s">
        <v>102</v>
      </c>
      <c r="F23" s="282">
        <v>0.04</v>
      </c>
      <c r="K23" s="560" t="s">
        <v>18</v>
      </c>
      <c r="L23" s="561"/>
      <c r="M23" s="562"/>
      <c r="O23" s="560" t="s">
        <v>18</v>
      </c>
      <c r="P23" s="561"/>
      <c r="Q23" s="562"/>
    </row>
    <row r="24" spans="1:17" ht="17.25" thickTop="1" thickBot="1">
      <c r="A24" s="549" t="s">
        <v>45</v>
      </c>
      <c r="B24" s="550"/>
      <c r="C24" s="551"/>
      <c r="E24" s="196" t="s">
        <v>26</v>
      </c>
      <c r="F24" s="197">
        <f>SUM(F13:F23)</f>
        <v>1</v>
      </c>
      <c r="K24" s="563" t="s">
        <v>73</v>
      </c>
      <c r="L24" s="564"/>
      <c r="M24" s="157" t="s">
        <v>43</v>
      </c>
      <c r="O24" s="563" t="s">
        <v>73</v>
      </c>
      <c r="P24" s="564"/>
      <c r="Q24" s="157" t="s">
        <v>43</v>
      </c>
    </row>
    <row r="25" spans="1:17" ht="17.25" thickTop="1" thickBot="1">
      <c r="A25" s="8" t="s">
        <v>41</v>
      </c>
      <c r="B25" s="9" t="s">
        <v>10</v>
      </c>
      <c r="C25" s="10" t="s">
        <v>43</v>
      </c>
      <c r="K25" s="565" t="s">
        <v>81</v>
      </c>
      <c r="L25" s="566"/>
      <c r="M25" s="171">
        <v>1</v>
      </c>
      <c r="O25" s="565" t="s">
        <v>87</v>
      </c>
      <c r="P25" s="566"/>
      <c r="Q25" s="171">
        <v>1</v>
      </c>
    </row>
    <row r="26" spans="1:17" ht="17.25" thickTop="1" thickBot="1">
      <c r="A26" s="549" t="s">
        <v>265</v>
      </c>
      <c r="B26" s="550"/>
      <c r="C26" s="551"/>
      <c r="K26" s="558" t="s">
        <v>77</v>
      </c>
      <c r="L26" s="559"/>
      <c r="M26" s="176">
        <v>2</v>
      </c>
      <c r="O26" s="558" t="s">
        <v>88</v>
      </c>
      <c r="P26" s="559"/>
      <c r="Q26" s="176">
        <v>2</v>
      </c>
    </row>
    <row r="27" spans="1:17">
      <c r="A27" s="198" t="s">
        <v>46</v>
      </c>
      <c r="B27" s="199" t="s">
        <v>54</v>
      </c>
      <c r="C27" s="200">
        <v>0</v>
      </c>
    </row>
    <row r="28" spans="1:17">
      <c r="A28" s="201" t="s">
        <v>47</v>
      </c>
      <c r="B28" s="202" t="s">
        <v>55</v>
      </c>
      <c r="C28" s="203">
        <v>0.5</v>
      </c>
    </row>
    <row r="29" spans="1:17" ht="25.5">
      <c r="A29" s="191" t="s">
        <v>48</v>
      </c>
      <c r="B29" s="202" t="s">
        <v>56</v>
      </c>
      <c r="C29" s="203">
        <v>0.5</v>
      </c>
    </row>
    <row r="30" spans="1:17" ht="25.5">
      <c r="A30" s="191" t="s">
        <v>49</v>
      </c>
      <c r="B30" s="202" t="s">
        <v>57</v>
      </c>
      <c r="C30" s="203">
        <v>1</v>
      </c>
    </row>
    <row r="31" spans="1:17" ht="25.5">
      <c r="A31" s="191" t="s">
        <v>50</v>
      </c>
      <c r="B31" s="202" t="s">
        <v>58</v>
      </c>
      <c r="C31" s="203">
        <v>1</v>
      </c>
    </row>
    <row r="32" spans="1:17" ht="25.5">
      <c r="A32" s="191" t="s">
        <v>51</v>
      </c>
      <c r="B32" s="202" t="s">
        <v>59</v>
      </c>
      <c r="C32" s="203">
        <v>2</v>
      </c>
    </row>
    <row r="33" spans="1:3" ht="25.5">
      <c r="A33" s="191" t="s">
        <v>52</v>
      </c>
      <c r="B33" s="202" t="s">
        <v>60</v>
      </c>
      <c r="C33" s="203">
        <v>1.5</v>
      </c>
    </row>
    <row r="34" spans="1:3" ht="26.25" thickBot="1">
      <c r="A34" s="194" t="s">
        <v>53</v>
      </c>
      <c r="B34" s="204" t="s">
        <v>61</v>
      </c>
      <c r="C34" s="205">
        <v>3</v>
      </c>
    </row>
    <row r="35" spans="1:3" ht="17.25" thickTop="1" thickBot="1">
      <c r="A35" s="549" t="s">
        <v>242</v>
      </c>
      <c r="B35" s="550"/>
      <c r="C35" s="551"/>
    </row>
    <row r="36" spans="1:3" ht="14.25" thickTop="1" thickBot="1">
      <c r="A36" s="325" t="s">
        <v>41</v>
      </c>
      <c r="B36" s="326" t="s">
        <v>10</v>
      </c>
      <c r="C36" s="327" t="s">
        <v>43</v>
      </c>
    </row>
    <row r="37" spans="1:3">
      <c r="A37" s="328" t="s">
        <v>257</v>
      </c>
      <c r="B37" s="319" t="s">
        <v>244</v>
      </c>
      <c r="C37" s="329">
        <v>0</v>
      </c>
    </row>
    <row r="38" spans="1:3">
      <c r="A38" s="330" t="s">
        <v>258</v>
      </c>
      <c r="B38" s="321" t="s">
        <v>245</v>
      </c>
      <c r="C38" s="331">
        <v>0.5</v>
      </c>
    </row>
    <row r="39" spans="1:3">
      <c r="A39" s="332" t="s">
        <v>259</v>
      </c>
      <c r="B39" s="321" t="s">
        <v>246</v>
      </c>
      <c r="C39" s="331">
        <v>0.5</v>
      </c>
    </row>
    <row r="40" spans="1:3">
      <c r="A40" s="332" t="s">
        <v>260</v>
      </c>
      <c r="B40" s="321" t="s">
        <v>247</v>
      </c>
      <c r="C40" s="331">
        <v>1</v>
      </c>
    </row>
    <row r="41" spans="1:3">
      <c r="A41" s="332" t="s">
        <v>261</v>
      </c>
      <c r="B41" s="321" t="s">
        <v>248</v>
      </c>
      <c r="C41" s="331">
        <v>1</v>
      </c>
    </row>
    <row r="42" spans="1:3">
      <c r="A42" s="332" t="s">
        <v>262</v>
      </c>
      <c r="B42" s="321" t="s">
        <v>249</v>
      </c>
      <c r="C42" s="331">
        <v>2</v>
      </c>
    </row>
    <row r="43" spans="1:3">
      <c r="A43" s="332" t="s">
        <v>263</v>
      </c>
      <c r="B43" s="321" t="s">
        <v>250</v>
      </c>
      <c r="C43" s="331">
        <v>1.5</v>
      </c>
    </row>
    <row r="44" spans="1:3" ht="13.5" thickBot="1">
      <c r="A44" s="324" t="s">
        <v>264</v>
      </c>
      <c r="B44" s="333" t="s">
        <v>251</v>
      </c>
      <c r="C44" s="334">
        <v>3</v>
      </c>
    </row>
    <row r="45" spans="1:3" ht="23.25" thickBot="1">
      <c r="A45" s="322" t="s">
        <v>266</v>
      </c>
      <c r="B45" s="323">
        <v>1.1000000000000001</v>
      </c>
    </row>
    <row r="46" spans="1:3" ht="24" thickTop="1" thickBot="1">
      <c r="A46" s="324" t="s">
        <v>267</v>
      </c>
      <c r="B46" s="337">
        <f>1/3</f>
        <v>0.33333333333333331</v>
      </c>
    </row>
    <row r="47" spans="1:3" ht="13.5" thickBot="1"/>
    <row r="48" spans="1:3" ht="19.5" thickTop="1" thickBot="1">
      <c r="A48" s="546" t="s">
        <v>71</v>
      </c>
      <c r="B48" s="547"/>
      <c r="C48" s="548"/>
    </row>
    <row r="49" spans="1:6" ht="17.25" thickTop="1" thickBot="1">
      <c r="A49" s="549" t="s">
        <v>70</v>
      </c>
      <c r="B49" s="550"/>
      <c r="C49" s="551"/>
    </row>
    <row r="50" spans="1:6" ht="16.5" thickBot="1">
      <c r="A50" s="156" t="s">
        <v>63</v>
      </c>
      <c r="B50" s="168" t="s">
        <v>43</v>
      </c>
      <c r="C50" s="157" t="s">
        <v>62</v>
      </c>
      <c r="F50" s="206"/>
    </row>
    <row r="51" spans="1:6">
      <c r="A51" s="207">
        <v>10</v>
      </c>
      <c r="B51" s="173">
        <v>1</v>
      </c>
      <c r="C51" s="208" t="s">
        <v>66</v>
      </c>
      <c r="F51" s="206"/>
    </row>
    <row r="52" spans="1:6" ht="25.5">
      <c r="A52" s="162">
        <v>50</v>
      </c>
      <c r="B52" s="192">
        <v>1.5</v>
      </c>
      <c r="C52" s="209" t="s">
        <v>67</v>
      </c>
      <c r="F52" s="206"/>
    </row>
    <row r="53" spans="1:6" ht="13.5" thickBot="1">
      <c r="A53" s="180" t="s">
        <v>65</v>
      </c>
      <c r="B53" s="178">
        <v>70</v>
      </c>
      <c r="C53" s="210" t="s">
        <v>68</v>
      </c>
    </row>
    <row r="54" spans="1:6" ht="14.25" thickTop="1" thickBot="1"/>
    <row r="55" spans="1:6" ht="19.5" thickTop="1" thickBot="1">
      <c r="A55" s="552" t="s">
        <v>119</v>
      </c>
      <c r="B55" s="568"/>
      <c r="C55" s="568"/>
      <c r="D55" s="568"/>
      <c r="E55" s="553"/>
    </row>
    <row r="56" spans="1:6" ht="17.25" thickTop="1" thickBot="1">
      <c r="A56" s="554" t="s">
        <v>115</v>
      </c>
      <c r="B56" s="567"/>
      <c r="C56" s="555"/>
      <c r="D56" s="554" t="s">
        <v>118</v>
      </c>
      <c r="E56" s="555"/>
    </row>
    <row r="57" spans="1:6" ht="33" thickTop="1" thickBot="1">
      <c r="A57" s="112" t="s">
        <v>116</v>
      </c>
      <c r="B57" s="113" t="s">
        <v>117</v>
      </c>
      <c r="C57" s="114" t="s">
        <v>10</v>
      </c>
      <c r="D57" s="112" t="s">
        <v>111</v>
      </c>
      <c r="E57" s="114" t="s">
        <v>112</v>
      </c>
    </row>
    <row r="58" spans="1:6" ht="13.5" thickBot="1">
      <c r="A58" s="211" t="s">
        <v>107</v>
      </c>
      <c r="B58" s="212">
        <v>0.5</v>
      </c>
      <c r="C58" s="213">
        <v>1</v>
      </c>
      <c r="D58" s="214">
        <v>1</v>
      </c>
      <c r="E58" s="215">
        <v>0.5</v>
      </c>
    </row>
    <row r="59" spans="1:6" ht="13.5" thickTop="1">
      <c r="A59" s="216" t="s">
        <v>108</v>
      </c>
      <c r="B59" s="217">
        <v>0.85</v>
      </c>
      <c r="C59" s="218">
        <v>0</v>
      </c>
    </row>
    <row r="60" spans="1:6" ht="13.5" thickBot="1">
      <c r="A60" s="219" t="s">
        <v>110</v>
      </c>
      <c r="B60" s="220">
        <v>2</v>
      </c>
      <c r="C60" s="221">
        <v>2</v>
      </c>
    </row>
    <row r="61" spans="1:6" ht="14.25" thickTop="1" thickBot="1">
      <c r="A61" s="222"/>
      <c r="B61" s="223"/>
      <c r="C61" s="222"/>
    </row>
    <row r="62" spans="1:6" ht="19.5" thickTop="1" thickBot="1">
      <c r="A62" s="546" t="s">
        <v>130</v>
      </c>
      <c r="B62" s="548"/>
      <c r="C62" s="222"/>
      <c r="D62" s="552" t="s">
        <v>134</v>
      </c>
      <c r="E62" s="553"/>
    </row>
    <row r="63" spans="1:6" ht="17.25" thickTop="1" thickBot="1">
      <c r="A63" s="554" t="s">
        <v>128</v>
      </c>
      <c r="B63" s="555"/>
      <c r="C63" s="222"/>
      <c r="D63" s="556" t="s">
        <v>132</v>
      </c>
      <c r="E63" s="557"/>
    </row>
    <row r="64" spans="1:6" ht="17.25" thickTop="1" thickBot="1">
      <c r="A64" s="112" t="s">
        <v>22</v>
      </c>
      <c r="B64" s="114" t="s">
        <v>129</v>
      </c>
      <c r="C64" s="222"/>
      <c r="D64" s="224" t="s">
        <v>133</v>
      </c>
      <c r="E64" s="225">
        <v>5</v>
      </c>
    </row>
    <row r="65" spans="1:3">
      <c r="A65" s="211" t="s">
        <v>124</v>
      </c>
      <c r="B65" s="226">
        <v>0.2</v>
      </c>
      <c r="C65" s="222"/>
    </row>
    <row r="66" spans="1:3" ht="13.5" thickBot="1">
      <c r="A66" s="219" t="s">
        <v>125</v>
      </c>
      <c r="B66" s="227">
        <v>0.8</v>
      </c>
      <c r="C66" s="222"/>
    </row>
    <row r="67" spans="1:3" ht="14.25" hidden="1" thickTop="1" thickBot="1">
      <c r="A67" s="528" t="s">
        <v>327</v>
      </c>
      <c r="B67" s="227">
        <f>IF(D1=2016,100%,0)</f>
        <v>0</v>
      </c>
    </row>
    <row r="68" spans="1:3" ht="19.5" thickTop="1" thickBot="1">
      <c r="A68" s="546" t="s">
        <v>139</v>
      </c>
      <c r="B68" s="547"/>
      <c r="C68" s="548"/>
    </row>
    <row r="69" spans="1:3" ht="17.25" thickTop="1" thickBot="1">
      <c r="A69" s="549" t="s">
        <v>196</v>
      </c>
      <c r="B69" s="550"/>
      <c r="C69" s="551"/>
    </row>
    <row r="70" spans="1:3" ht="16.5" thickBot="1">
      <c r="A70" s="156" t="s">
        <v>22</v>
      </c>
      <c r="B70" s="168" t="s">
        <v>201</v>
      </c>
      <c r="C70" s="157" t="s">
        <v>62</v>
      </c>
    </row>
    <row r="71" spans="1:3" ht="30.75" customHeight="1">
      <c r="A71" s="207" t="s">
        <v>197</v>
      </c>
      <c r="B71" s="228">
        <v>0</v>
      </c>
      <c r="C71" s="544" t="s">
        <v>200</v>
      </c>
    </row>
    <row r="72" spans="1:3">
      <c r="A72" s="162" t="s">
        <v>198</v>
      </c>
      <c r="B72" s="229">
        <v>0.2</v>
      </c>
      <c r="C72" s="545"/>
    </row>
    <row r="73" spans="1:3" ht="13.5" thickBot="1">
      <c r="A73" s="180" t="s">
        <v>199</v>
      </c>
      <c r="B73" s="230">
        <v>0.03</v>
      </c>
      <c r="C73" s="210" t="str">
        <f>""</f>
        <v/>
      </c>
    </row>
    <row r="74" spans="1:3" ht="14.25" thickTop="1" thickBot="1"/>
    <row r="75" spans="1:3" ht="18.75" thickBot="1">
      <c r="A75" s="583" t="s">
        <v>275</v>
      </c>
      <c r="B75" s="584"/>
    </row>
    <row r="76" spans="1:3" ht="39" thickTop="1">
      <c r="A76" s="355" t="s">
        <v>276</v>
      </c>
      <c r="B76" s="356">
        <v>0.3</v>
      </c>
    </row>
    <row r="77" spans="1:3" ht="13.5" thickBot="1">
      <c r="A77" s="357" t="s">
        <v>277</v>
      </c>
      <c r="B77" s="358">
        <v>0.02</v>
      </c>
    </row>
  </sheetData>
  <sheetProtection password="CC01" sheet="1" objects="1" scenarios="1" formatColumns="0" formatRows="0"/>
  <mergeCells count="51">
    <mergeCell ref="A75:B75"/>
    <mergeCell ref="O17:Q17"/>
    <mergeCell ref="O9:Q9"/>
    <mergeCell ref="O10:Q10"/>
    <mergeCell ref="K9:M9"/>
    <mergeCell ref="K10:M10"/>
    <mergeCell ref="O16:Q16"/>
    <mergeCell ref="K13:L13"/>
    <mergeCell ref="K11:L11"/>
    <mergeCell ref="K12:L12"/>
    <mergeCell ref="K17:M17"/>
    <mergeCell ref="K16:M16"/>
    <mergeCell ref="O20:P20"/>
    <mergeCell ref="O22:Q22"/>
    <mergeCell ref="K18:L18"/>
    <mergeCell ref="O18:P18"/>
    <mergeCell ref="O19:P19"/>
    <mergeCell ref="K19:L20"/>
    <mergeCell ref="M19:M20"/>
    <mergeCell ref="K22:M22"/>
    <mergeCell ref="B1:C1"/>
    <mergeCell ref="B2:C2"/>
    <mergeCell ref="A5:B5"/>
    <mergeCell ref="A6:B6"/>
    <mergeCell ref="E11:F11"/>
    <mergeCell ref="B3:C3"/>
    <mergeCell ref="A16:C16"/>
    <mergeCell ref="A56:C56"/>
    <mergeCell ref="A48:C48"/>
    <mergeCell ref="A55:E55"/>
    <mergeCell ref="D56:E56"/>
    <mergeCell ref="A17:C17"/>
    <mergeCell ref="A24:C24"/>
    <mergeCell ref="A49:C49"/>
    <mergeCell ref="A26:C26"/>
    <mergeCell ref="A35:C35"/>
    <mergeCell ref="O26:P26"/>
    <mergeCell ref="O23:Q23"/>
    <mergeCell ref="O24:P24"/>
    <mergeCell ref="O25:P25"/>
    <mergeCell ref="K26:L26"/>
    <mergeCell ref="K24:L24"/>
    <mergeCell ref="K23:M23"/>
    <mergeCell ref="K25:L25"/>
    <mergeCell ref="C71:C72"/>
    <mergeCell ref="A68:C68"/>
    <mergeCell ref="A69:C69"/>
    <mergeCell ref="D62:E62"/>
    <mergeCell ref="A63:B63"/>
    <mergeCell ref="A62:B62"/>
    <mergeCell ref="D63:E63"/>
  </mergeCells>
  <phoneticPr fontId="5" type="noConversion"/>
  <conditionalFormatting sqref="D3">
    <cfRule type="containsBlanks" dxfId="118" priority="2">
      <formula>LEN(TRIM(D3))=0</formula>
    </cfRule>
  </conditionalFormatting>
  <conditionalFormatting sqref="D2">
    <cfRule type="containsBlanks" dxfId="117" priority="1">
      <formula>LEN(TRIM(D2))=0</formula>
    </cfRule>
  </conditionalFormatting>
  <printOptions horizontalCentered="1"/>
  <pageMargins left="0.19685039370078741" right="0.19685039370078741" top="0.78740157480314965" bottom="0.59055118110236227" header="0.19685039370078741" footer="0.19685039370078741"/>
  <pageSetup paperSize="9" scale="54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-0.249977111117893"/>
  </sheetPr>
  <dimension ref="A1:W44"/>
  <sheetViews>
    <sheetView rightToLeft="1" tabSelected="1" view="pageBreakPreview" zoomScaleNormal="100" zoomScaleSheetLayoutView="100" workbookViewId="0">
      <selection activeCell="F11" sqref="F11"/>
    </sheetView>
  </sheetViews>
  <sheetFormatPr defaultColWidth="9.140625" defaultRowHeight="12.75" outlineLevelRow="1"/>
  <cols>
    <col min="1" max="1" width="8" style="455" customWidth="1"/>
    <col min="2" max="2" width="25.5703125" style="455" customWidth="1"/>
    <col min="3" max="3" width="10.28515625" style="455" customWidth="1"/>
    <col min="4" max="4" width="21.28515625" style="455" customWidth="1"/>
    <col min="5" max="5" width="17.5703125" style="455" customWidth="1"/>
    <col min="6" max="6" width="20.42578125" style="455" bestFit="1" customWidth="1"/>
    <col min="7" max="7" width="18" style="455" customWidth="1"/>
    <col min="8" max="8" width="22.5703125" style="455" customWidth="1"/>
    <col min="9" max="9" width="17.7109375" style="455" customWidth="1"/>
    <col min="10" max="10" width="20.140625" style="455" customWidth="1"/>
    <col min="11" max="11" width="16.42578125" style="455" customWidth="1"/>
    <col min="12" max="12" width="11.28515625" style="455" customWidth="1"/>
    <col min="13" max="13" width="14" style="455" customWidth="1"/>
    <col min="14" max="14" width="19" style="455" customWidth="1"/>
    <col min="15" max="15" width="15.140625" style="455" customWidth="1"/>
    <col min="16" max="18" width="19.85546875" style="455" customWidth="1"/>
    <col min="19" max="21" width="2.42578125" style="455" hidden="1" customWidth="1"/>
    <col min="22" max="22" width="9.5703125" style="455" bestFit="1" customWidth="1"/>
    <col min="23" max="23" width="9.7109375" style="455" bestFit="1" customWidth="1"/>
    <col min="24" max="16384" width="9.140625" style="455"/>
  </cols>
  <sheetData>
    <row r="1" spans="1:23" s="428" customFormat="1" ht="16.5" customHeight="1" outlineLevel="1" thickTop="1" thickBot="1">
      <c r="B1" s="684" t="s">
        <v>196</v>
      </c>
      <c r="C1" s="685"/>
      <c r="D1" s="686"/>
      <c r="F1" s="687" t="s">
        <v>298</v>
      </c>
      <c r="G1" s="688"/>
      <c r="H1" s="689"/>
    </row>
    <row r="2" spans="1:23" s="428" customFormat="1" ht="16.5" outlineLevel="1" thickBot="1">
      <c r="B2" s="429" t="s">
        <v>22</v>
      </c>
      <c r="C2" s="430" t="s">
        <v>201</v>
      </c>
      <c r="D2" s="431" t="s">
        <v>62</v>
      </c>
      <c r="F2" s="432" t="s">
        <v>22</v>
      </c>
      <c r="G2" s="433" t="s">
        <v>201</v>
      </c>
      <c r="H2" s="434" t="s">
        <v>62</v>
      </c>
    </row>
    <row r="3" spans="1:23" s="428" customFormat="1" ht="15.75" outlineLevel="1">
      <c r="B3" s="435" t="str">
        <f>פרמטרים!A71</f>
        <v>גרעון שוטף</v>
      </c>
      <c r="C3" s="436">
        <f>פרמטרים!B71</f>
        <v>0</v>
      </c>
      <c r="D3" s="690" t="s">
        <v>200</v>
      </c>
      <c r="F3" s="437" t="s">
        <v>299</v>
      </c>
      <c r="G3" s="438">
        <v>0.15</v>
      </c>
      <c r="H3" s="692" t="s">
        <v>300</v>
      </c>
    </row>
    <row r="4" spans="1:23" s="428" customFormat="1" ht="16.5" outlineLevel="1" thickBot="1">
      <c r="B4" s="435" t="str">
        <f>פרמטרים!A72</f>
        <v>גרעון מצטבר</v>
      </c>
      <c r="C4" s="436">
        <f>פרמטרים!B72</f>
        <v>0.2</v>
      </c>
      <c r="D4" s="691">
        <v>0</v>
      </c>
      <c r="F4" s="439" t="s">
        <v>301</v>
      </c>
      <c r="G4" s="440">
        <v>0.25</v>
      </c>
      <c r="H4" s="693">
        <v>0</v>
      </c>
    </row>
    <row r="5" spans="1:23" s="428" customFormat="1" ht="20.25" customHeight="1" outlineLevel="1" thickBot="1">
      <c r="B5" s="435" t="str">
        <f>פרמטרים!A73</f>
        <v>שיעור הבונוס</v>
      </c>
      <c r="C5" s="436">
        <f>פרמטרים!B73</f>
        <v>0.03</v>
      </c>
    </row>
    <row r="6" spans="1:23" s="428" customFormat="1" ht="37.5">
      <c r="G6" s="462" t="str">
        <f>'חריגות שכר'!B1</f>
        <v>שנת התקציב</v>
      </c>
      <c r="H6" s="441">
        <f>'חריגות שכר'!D1</f>
        <v>2018</v>
      </c>
    </row>
    <row r="7" spans="1:23" s="428" customFormat="1" ht="19.5" thickBot="1">
      <c r="G7" s="442" t="str">
        <f>'חריגות שכר'!B2</f>
        <v>תקציב</v>
      </c>
      <c r="H7" s="443">
        <f>'חריגות שכר'!D2</f>
        <v>98822015</v>
      </c>
    </row>
    <row r="8" spans="1:23" s="428" customFormat="1"/>
    <row r="9" spans="1:23" s="428" customFormat="1" ht="19.5" thickBot="1">
      <c r="A9" s="694" t="s">
        <v>138</v>
      </c>
      <c r="B9" s="695"/>
      <c r="C9" s="695"/>
      <c r="D9" s="695"/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695"/>
      <c r="Q9" s="695"/>
      <c r="R9" s="695"/>
    </row>
    <row r="10" spans="1:23" s="428" customFormat="1" ht="63.75" thickBot="1">
      <c r="A10" s="444" t="s">
        <v>23</v>
      </c>
      <c r="B10" s="445" t="s">
        <v>270</v>
      </c>
      <c r="C10" s="445" t="s">
        <v>154</v>
      </c>
      <c r="D10" s="445" t="str">
        <f>"תקציב שנתי לשנת "&amp;H6-2</f>
        <v>תקציב שנתי לשנת 2016</v>
      </c>
      <c r="E10" s="445" t="str">
        <f>"עודף / גרעון
שוטף "&amp;H6-2</f>
        <v>עודף / גרעון
שוטף 2016</v>
      </c>
      <c r="F10" s="445" t="str">
        <f>"עודף / גרעון
מצטבר "&amp;H6-2</f>
        <v>עודף / גרעון
מצטבר 2016</v>
      </c>
      <c r="G10" s="445" t="s">
        <v>218</v>
      </c>
      <c r="H10" s="445" t="s">
        <v>222</v>
      </c>
      <c r="I10" s="445" t="s">
        <v>135</v>
      </c>
      <c r="J10" s="445" t="s">
        <v>223</v>
      </c>
      <c r="K10" s="445" t="s">
        <v>136</v>
      </c>
      <c r="L10" s="445" t="s">
        <v>140</v>
      </c>
      <c r="M10" s="445" t="s">
        <v>178</v>
      </c>
      <c r="N10" s="445" t="s">
        <v>202</v>
      </c>
      <c r="O10" s="445" t="s">
        <v>179</v>
      </c>
      <c r="P10" s="445" t="s">
        <v>105</v>
      </c>
      <c r="Q10" s="445" t="s">
        <v>302</v>
      </c>
      <c r="R10" s="445" t="s">
        <v>294</v>
      </c>
      <c r="S10" s="446" t="s">
        <v>295</v>
      </c>
      <c r="T10" s="428" t="s">
        <v>296</v>
      </c>
      <c r="U10" s="428" t="s">
        <v>297</v>
      </c>
    </row>
    <row r="11" spans="1:23" ht="15.75">
      <c r="A11" s="341">
        <f>'חריגות שכר'!A6</f>
        <v>1</v>
      </c>
      <c r="B11" s="447" t="str">
        <f>'חריגות שכר'!B6</f>
        <v>הבימה</v>
      </c>
      <c r="C11" s="448">
        <f>'חריגות שכר'!I6</f>
        <v>0.17652834059125527</v>
      </c>
      <c r="D11" s="467">
        <v>75891000</v>
      </c>
      <c r="E11" s="467">
        <v>504000</v>
      </c>
      <c r="F11" s="467">
        <v>-39576000</v>
      </c>
      <c r="G11" s="450"/>
      <c r="H11" s="451">
        <f t="shared" ref="H11:H40" si="0">IF(OR(C11="",SUM(S11,U11)&lt;2),"",E11+G11)</f>
        <v>504000</v>
      </c>
      <c r="I11" s="452">
        <f t="shared" ref="I11:I40" si="1">IF(H11="","",IF($D11=0,"--",H11/$D11))</f>
        <v>6.6411036881843695E-3</v>
      </c>
      <c r="J11" s="451">
        <f t="shared" ref="J11:J40" si="2">IF(OR(C11="",SUM(T11:U11)&lt;2),"",F11-E11+H11)</f>
        <v>-39576000</v>
      </c>
      <c r="K11" s="452">
        <f t="shared" ref="K11:K40" si="3">IF(OR($C11="",D11&lt;0,T11="BAD"),"",IF($D11=0,"--",J11/$D11))</f>
        <v>-0.52148476103885832</v>
      </c>
      <c r="L11" s="453">
        <f t="shared" ref="L11:L40" si="4">IF(OR(I11="",K11=""),"",IF(AND(I11&gt;=$C$3,K11&gt;-$C$4),1,0))</f>
        <v>0</v>
      </c>
      <c r="M11" s="452">
        <f t="shared" ref="M11:M40" si="5">IF(OR(C11="",L11=""),"",IF(L11=1,C11*(1+$C$5),C11))</f>
        <v>0.17652834059125527</v>
      </c>
      <c r="N11" s="451">
        <f t="shared" ref="N11:N40" si="6">IF(M11="","",IF(Q11=$S$10,IF(R11&lt;&gt;$T$10,0,M11*$H$7),M11*$H$7))</f>
        <v>17444886.321834136</v>
      </c>
      <c r="O11" s="410">
        <f t="shared" ref="O11:O40" si="7">IF(ISERR(N11/$N$44),"",N11/$N$44)</f>
        <v>0.17385252406087146</v>
      </c>
      <c r="P11" s="454">
        <f>IF(O11="","",O11*$H$7)</f>
        <v>17180456.740531299</v>
      </c>
      <c r="Q11" s="302" t="str">
        <f>IF(B11="","",IF(OR(I11&lt;-$G$3,K11&lt;-$G$4),$S$10,""))</f>
        <v>יש להציג תוכנית הבראה</v>
      </c>
      <c r="R11" s="466" t="s">
        <v>296</v>
      </c>
      <c r="S11" s="455">
        <f>IF($C11="",0,IF(ISERR(E11/3),0,1))</f>
        <v>1</v>
      </c>
      <c r="T11" s="455">
        <f>IF($C11="",0,IF(ISERR(F11/3),0,1))</f>
        <v>1</v>
      </c>
      <c r="U11" s="455">
        <f>IF($C11="",0,IF(ISERR(G11/3),0,IF(G11&lt;0,0,1)))</f>
        <v>1</v>
      </c>
      <c r="W11" s="456"/>
    </row>
    <row r="12" spans="1:23" ht="15.75">
      <c r="A12" s="341">
        <f>'חריגות שכר'!A7</f>
        <v>2</v>
      </c>
      <c r="B12" s="447" t="str">
        <f>'חריגות שכר'!B7</f>
        <v>הקאמרי</v>
      </c>
      <c r="C12" s="448">
        <f>'חריגות שכר'!I7</f>
        <v>0.11087060757687477</v>
      </c>
      <c r="D12" s="467">
        <v>99582000</v>
      </c>
      <c r="E12" s="468">
        <v>39000</v>
      </c>
      <c r="F12" s="468">
        <v>-6256000</v>
      </c>
      <c r="G12" s="450"/>
      <c r="H12" s="451">
        <f t="shared" si="0"/>
        <v>39000</v>
      </c>
      <c r="I12" s="452">
        <f t="shared" si="1"/>
        <v>3.9163704283906733E-4</v>
      </c>
      <c r="J12" s="451">
        <f t="shared" si="2"/>
        <v>-6256000</v>
      </c>
      <c r="K12" s="452">
        <f t="shared" si="3"/>
        <v>-6.2822598461569359E-2</v>
      </c>
      <c r="L12" s="453">
        <f t="shared" si="4"/>
        <v>1</v>
      </c>
      <c r="M12" s="452">
        <f t="shared" si="5"/>
        <v>0.11419672580418101</v>
      </c>
      <c r="N12" s="451">
        <f t="shared" si="6"/>
        <v>11285150.550371664</v>
      </c>
      <c r="O12" s="410">
        <f t="shared" si="7"/>
        <v>0.11246573187086088</v>
      </c>
      <c r="P12" s="454">
        <f t="shared" ref="P12:P40" si="8">IF(O12="","",O12*$H$7)</f>
        <v>11114090.241928192</v>
      </c>
      <c r="Q12" s="302" t="str">
        <f t="shared" ref="Q12:Q43" si="9">IF(B12="","",IF(OR(I12&lt;-$G$3,K12&lt;-$G$4),$S$10,""))</f>
        <v/>
      </c>
      <c r="R12" s="466"/>
      <c r="S12" s="455">
        <f t="shared" ref="S12:S43" si="10">IF($C12="",0,IF(ISERR(E12/3),0,1))</f>
        <v>1</v>
      </c>
      <c r="T12" s="455">
        <f t="shared" ref="T12:T43" si="11">IF($C12="",0,IF(ISERR(F12/3),0,1))</f>
        <v>1</v>
      </c>
      <c r="U12" s="455">
        <f t="shared" ref="U12:U43" si="12">IF($C12="",0,IF(ISERR(G12/3),0,IF(G12&lt;0,0,1)))</f>
        <v>1</v>
      </c>
      <c r="W12" s="456"/>
    </row>
    <row r="13" spans="1:23" ht="15.75">
      <c r="A13" s="341">
        <f>'חריגות שכר'!A8</f>
        <v>3</v>
      </c>
      <c r="B13" s="447" t="str">
        <f>'חריגות שכר'!B8</f>
        <v>בית לסין</v>
      </c>
      <c r="C13" s="448">
        <f>'חריגות שכר'!I8</f>
        <v>9.0245355740511013E-2</v>
      </c>
      <c r="D13" s="467">
        <v>60305793</v>
      </c>
      <c r="E13" s="468">
        <v>-172471</v>
      </c>
      <c r="F13" s="468">
        <v>-10314780</v>
      </c>
      <c r="G13" s="450"/>
      <c r="H13" s="451">
        <f t="shared" si="0"/>
        <v>-172471</v>
      </c>
      <c r="I13" s="452">
        <f t="shared" si="1"/>
        <v>-2.8599408352030127E-3</v>
      </c>
      <c r="J13" s="451">
        <f t="shared" si="2"/>
        <v>-10314780</v>
      </c>
      <c r="K13" s="452">
        <f t="shared" si="3"/>
        <v>-0.17104127956662471</v>
      </c>
      <c r="L13" s="453">
        <f t="shared" si="4"/>
        <v>0</v>
      </c>
      <c r="M13" s="452">
        <f t="shared" si="5"/>
        <v>9.0245355740511013E-2</v>
      </c>
      <c r="N13" s="451">
        <f t="shared" si="6"/>
        <v>8918227.8986691162</v>
      </c>
      <c r="O13" s="410">
        <f t="shared" si="7"/>
        <v>8.8877416666977418E-2</v>
      </c>
      <c r="P13" s="454">
        <f t="shared" si="8"/>
        <v>8783045.4030252919</v>
      </c>
      <c r="Q13" s="302" t="str">
        <f t="shared" si="9"/>
        <v/>
      </c>
      <c r="R13" s="466"/>
      <c r="S13" s="455">
        <f t="shared" si="10"/>
        <v>1</v>
      </c>
      <c r="T13" s="455">
        <f t="shared" si="11"/>
        <v>1</v>
      </c>
      <c r="U13" s="455">
        <f t="shared" si="12"/>
        <v>1</v>
      </c>
      <c r="W13" s="456"/>
    </row>
    <row r="14" spans="1:23" ht="15.75">
      <c r="A14" s="341">
        <f>'חריגות שכר'!A9</f>
        <v>4</v>
      </c>
      <c r="B14" s="447" t="str">
        <f>'חריגות שכר'!B9</f>
        <v>חיפה</v>
      </c>
      <c r="C14" s="448">
        <f>'חריגות שכר'!I9</f>
        <v>6.0300471484172224E-2</v>
      </c>
      <c r="D14" s="467">
        <v>32447000</v>
      </c>
      <c r="E14" s="468">
        <v>1114000</v>
      </c>
      <c r="F14" s="468">
        <v>-12493000</v>
      </c>
      <c r="G14" s="450"/>
      <c r="H14" s="451">
        <f t="shared" si="0"/>
        <v>1114000</v>
      </c>
      <c r="I14" s="452">
        <f t="shared" si="1"/>
        <v>3.4332912133633313E-2</v>
      </c>
      <c r="J14" s="451">
        <f t="shared" si="2"/>
        <v>-12493000</v>
      </c>
      <c r="K14" s="452">
        <f t="shared" si="3"/>
        <v>-0.38502789163867229</v>
      </c>
      <c r="L14" s="453">
        <f t="shared" si="4"/>
        <v>0</v>
      </c>
      <c r="M14" s="452">
        <f t="shared" si="5"/>
        <v>6.0300471484172224E-2</v>
      </c>
      <c r="N14" s="451">
        <f t="shared" si="6"/>
        <v>5959014.0975159397</v>
      </c>
      <c r="O14" s="410">
        <f t="shared" si="7"/>
        <v>5.938643695664618E-2</v>
      </c>
      <c r="P14" s="454">
        <f t="shared" si="8"/>
        <v>5868687.3637262434</v>
      </c>
      <c r="Q14" s="302" t="str">
        <f t="shared" si="9"/>
        <v>יש להציג תוכנית הבראה</v>
      </c>
      <c r="R14" s="466" t="s">
        <v>296</v>
      </c>
      <c r="S14" s="455">
        <f t="shared" si="10"/>
        <v>1</v>
      </c>
      <c r="T14" s="455">
        <f t="shared" si="11"/>
        <v>1</v>
      </c>
      <c r="U14" s="455">
        <f t="shared" si="12"/>
        <v>1</v>
      </c>
      <c r="W14" s="456"/>
    </row>
    <row r="15" spans="1:23" ht="15.75">
      <c r="A15" s="341">
        <f>'חריגות שכר'!A10</f>
        <v>5</v>
      </c>
      <c r="B15" s="447" t="str">
        <f>'חריגות שכר'!B10</f>
        <v>באר שבע</v>
      </c>
      <c r="C15" s="448">
        <f>'חריגות שכר'!I10</f>
        <v>7.5990954653826798E-2</v>
      </c>
      <c r="D15" s="468">
        <v>29833000</v>
      </c>
      <c r="E15" s="468">
        <v>-198000</v>
      </c>
      <c r="F15" s="468">
        <v>-2832000</v>
      </c>
      <c r="G15" s="450"/>
      <c r="H15" s="451">
        <f t="shared" si="0"/>
        <v>-198000</v>
      </c>
      <c r="I15" s="452">
        <f t="shared" si="1"/>
        <v>-6.6369456641973655E-3</v>
      </c>
      <c r="J15" s="451">
        <f t="shared" si="2"/>
        <v>-2832000</v>
      </c>
      <c r="K15" s="452">
        <f t="shared" si="3"/>
        <v>-9.4928434954580504E-2</v>
      </c>
      <c r="L15" s="453">
        <f t="shared" si="4"/>
        <v>0</v>
      </c>
      <c r="M15" s="452">
        <f t="shared" si="5"/>
        <v>7.5990954653826798E-2</v>
      </c>
      <c r="N15" s="451">
        <f t="shared" si="6"/>
        <v>7509579.2606647918</v>
      </c>
      <c r="O15" s="410">
        <f t="shared" si="7"/>
        <v>7.4839083787419144E-2</v>
      </c>
      <c r="P15" s="454">
        <f t="shared" si="8"/>
        <v>7395749.0606265916</v>
      </c>
      <c r="Q15" s="302" t="str">
        <f t="shared" si="9"/>
        <v/>
      </c>
      <c r="R15" s="466"/>
      <c r="S15" s="455">
        <f t="shared" si="10"/>
        <v>1</v>
      </c>
      <c r="T15" s="455">
        <f t="shared" si="11"/>
        <v>1</v>
      </c>
      <c r="U15" s="455">
        <f t="shared" si="12"/>
        <v>1</v>
      </c>
      <c r="W15" s="456"/>
    </row>
    <row r="16" spans="1:23" ht="15.75">
      <c r="A16" s="341">
        <f>'חריגות שכר'!A11</f>
        <v>6</v>
      </c>
      <c r="B16" s="447" t="str">
        <f>'חריגות שכר'!B11</f>
        <v>גשר</v>
      </c>
      <c r="C16" s="448">
        <f>'חריגות שכר'!I11</f>
        <v>5.9137962897375759E-2</v>
      </c>
      <c r="D16" s="467">
        <v>27452000</v>
      </c>
      <c r="E16" s="468">
        <v>1140000</v>
      </c>
      <c r="F16" s="468">
        <v>-4981000</v>
      </c>
      <c r="G16" s="450"/>
      <c r="H16" s="451">
        <f t="shared" si="0"/>
        <v>1140000</v>
      </c>
      <c r="I16" s="452">
        <f t="shared" si="1"/>
        <v>4.1527028996065862E-2</v>
      </c>
      <c r="J16" s="451">
        <f t="shared" si="2"/>
        <v>-4981000</v>
      </c>
      <c r="K16" s="452">
        <f t="shared" si="3"/>
        <v>-0.18144397493807374</v>
      </c>
      <c r="L16" s="453">
        <f t="shared" si="4"/>
        <v>1</v>
      </c>
      <c r="M16" s="452">
        <f t="shared" si="5"/>
        <v>6.0912101784297033E-2</v>
      </c>
      <c r="N16" s="451">
        <f t="shared" si="6"/>
        <v>6019456.6362093277</v>
      </c>
      <c r="O16" s="410">
        <f t="shared" si="7"/>
        <v>5.9988796164876748E-2</v>
      </c>
      <c r="P16" s="454">
        <f t="shared" si="8"/>
        <v>5928213.7144373925</v>
      </c>
      <c r="Q16" s="302" t="str">
        <f t="shared" si="9"/>
        <v/>
      </c>
      <c r="R16" s="466" t="s">
        <v>296</v>
      </c>
      <c r="S16" s="455">
        <f t="shared" si="10"/>
        <v>1</v>
      </c>
      <c r="T16" s="455">
        <f t="shared" si="11"/>
        <v>1</v>
      </c>
      <c r="U16" s="455">
        <f t="shared" si="12"/>
        <v>1</v>
      </c>
      <c r="W16" s="456"/>
    </row>
    <row r="17" spans="1:23" ht="15.75">
      <c r="A17" s="341">
        <f>'חריגות שכר'!A12</f>
        <v>7</v>
      </c>
      <c r="B17" s="447" t="str">
        <f>'חריגות שכר'!B12</f>
        <v>החאן</v>
      </c>
      <c r="C17" s="448">
        <f>'חריגות שכר'!I12</f>
        <v>7.2921117103434199E-2</v>
      </c>
      <c r="D17" s="467">
        <v>18881710</v>
      </c>
      <c r="E17" s="468">
        <v>564291</v>
      </c>
      <c r="F17" s="468">
        <v>-573009</v>
      </c>
      <c r="G17" s="450"/>
      <c r="H17" s="451">
        <f t="shared" si="0"/>
        <v>564291</v>
      </c>
      <c r="I17" s="452">
        <f t="shared" si="1"/>
        <v>2.9885587693063816E-2</v>
      </c>
      <c r="J17" s="451">
        <f t="shared" si="2"/>
        <v>-573009</v>
      </c>
      <c r="K17" s="452">
        <f t="shared" si="3"/>
        <v>-3.0347304349023472E-2</v>
      </c>
      <c r="L17" s="453">
        <f t="shared" si="4"/>
        <v>1</v>
      </c>
      <c r="M17" s="452">
        <f t="shared" si="5"/>
        <v>7.5108750616537226E-2</v>
      </c>
      <c r="N17" s="451">
        <f t="shared" si="6"/>
        <v>7422398.0800587013</v>
      </c>
      <c r="O17" s="410">
        <f t="shared" si="7"/>
        <v>7.3970252198645448E-2</v>
      </c>
      <c r="P17" s="454">
        <f t="shared" si="8"/>
        <v>7309889.3723283233</v>
      </c>
      <c r="Q17" s="302" t="str">
        <f t="shared" si="9"/>
        <v/>
      </c>
      <c r="R17" s="466"/>
      <c r="S17" s="455">
        <f t="shared" si="10"/>
        <v>1</v>
      </c>
      <c r="T17" s="455">
        <f t="shared" si="11"/>
        <v>1</v>
      </c>
      <c r="U17" s="455">
        <f t="shared" si="12"/>
        <v>1</v>
      </c>
      <c r="W17" s="456"/>
    </row>
    <row r="18" spans="1:23" ht="15.75">
      <c r="A18" s="341">
        <f>'חריגות שכר'!A13</f>
        <v>8</v>
      </c>
      <c r="B18" s="447" t="str">
        <f>'חריגות שכר'!B13</f>
        <v>היידישפיל</v>
      </c>
      <c r="C18" s="448">
        <f>'חריגות שכר'!I13</f>
        <v>5.189694476015539E-2</v>
      </c>
      <c r="D18" s="467">
        <v>16385927</v>
      </c>
      <c r="E18" s="468">
        <v>1105111</v>
      </c>
      <c r="F18" s="468">
        <v>-72532</v>
      </c>
      <c r="G18" s="450"/>
      <c r="H18" s="451">
        <f t="shared" si="0"/>
        <v>1105111</v>
      </c>
      <c r="I18" s="452">
        <f t="shared" si="1"/>
        <v>6.7442690303697803E-2</v>
      </c>
      <c r="J18" s="451">
        <f t="shared" si="2"/>
        <v>-72532</v>
      </c>
      <c r="K18" s="452">
        <f t="shared" si="3"/>
        <v>-4.4264813336468544E-3</v>
      </c>
      <c r="L18" s="453">
        <f t="shared" si="4"/>
        <v>1</v>
      </c>
      <c r="M18" s="452">
        <f t="shared" si="5"/>
        <v>5.3453853102960053E-2</v>
      </c>
      <c r="N18" s="451">
        <f t="shared" si="6"/>
        <v>5282417.4731485145</v>
      </c>
      <c r="O18" s="410">
        <f t="shared" si="7"/>
        <v>5.2643599614672895E-2</v>
      </c>
      <c r="P18" s="454">
        <f t="shared" si="8"/>
        <v>5202346.5907751992</v>
      </c>
      <c r="Q18" s="302" t="str">
        <f t="shared" si="9"/>
        <v/>
      </c>
      <c r="R18" s="466"/>
      <c r="S18" s="455">
        <f t="shared" si="10"/>
        <v>1</v>
      </c>
      <c r="T18" s="455">
        <f t="shared" si="11"/>
        <v>1</v>
      </c>
      <c r="U18" s="455">
        <f t="shared" si="12"/>
        <v>1</v>
      </c>
      <c r="W18" s="456"/>
    </row>
    <row r="19" spans="1:23" ht="15.75">
      <c r="A19" s="341">
        <f>'חריגות שכר'!A14</f>
        <v>9</v>
      </c>
      <c r="B19" s="447" t="str">
        <f>'חריגות שכר'!B14</f>
        <v>תיאטרון אלמידאן</v>
      </c>
      <c r="C19" s="448">
        <f>'חריגות שכר'!I14</f>
        <v>0</v>
      </c>
      <c r="D19" s="467">
        <v>1439702</v>
      </c>
      <c r="E19" s="468">
        <v>-872373</v>
      </c>
      <c r="F19" s="468">
        <v>-822638</v>
      </c>
      <c r="G19" s="450"/>
      <c r="H19" s="451">
        <f t="shared" si="0"/>
        <v>-872373</v>
      </c>
      <c r="I19" s="452">
        <f t="shared" si="1"/>
        <v>-0.60593997924570497</v>
      </c>
      <c r="J19" s="451">
        <f t="shared" si="2"/>
        <v>-822638</v>
      </c>
      <c r="K19" s="452">
        <f t="shared" si="3"/>
        <v>-0.57139463583436012</v>
      </c>
      <c r="L19" s="453">
        <f t="shared" si="4"/>
        <v>0</v>
      </c>
      <c r="M19" s="452">
        <f t="shared" si="5"/>
        <v>0</v>
      </c>
      <c r="N19" s="451">
        <f t="shared" si="6"/>
        <v>0</v>
      </c>
      <c r="O19" s="410">
        <f t="shared" si="7"/>
        <v>0</v>
      </c>
      <c r="P19" s="454">
        <f t="shared" si="8"/>
        <v>0</v>
      </c>
      <c r="Q19" s="302" t="str">
        <f t="shared" si="9"/>
        <v>יש להציג תוכנית הבראה</v>
      </c>
      <c r="R19" s="466" t="s">
        <v>296</v>
      </c>
      <c r="S19" s="455">
        <f t="shared" si="10"/>
        <v>1</v>
      </c>
      <c r="T19" s="455">
        <f t="shared" si="11"/>
        <v>1</v>
      </c>
      <c r="U19" s="455">
        <f t="shared" si="12"/>
        <v>1</v>
      </c>
      <c r="W19" s="456"/>
    </row>
    <row r="20" spans="1:23" ht="15.75">
      <c r="A20" s="341">
        <f>'חריגות שכר'!A15</f>
        <v>10</v>
      </c>
      <c r="B20" s="447" t="str">
        <f>'חריגות שכר'!B15</f>
        <v>הזירה הבין תחומית</v>
      </c>
      <c r="C20" s="448">
        <f>'חריגות שכר'!I15</f>
        <v>8.251752020529482E-3</v>
      </c>
      <c r="D20" s="467">
        <v>4371407</v>
      </c>
      <c r="E20" s="468">
        <v>535965</v>
      </c>
      <c r="F20" s="468">
        <v>-176770</v>
      </c>
      <c r="G20" s="450"/>
      <c r="H20" s="451">
        <f t="shared" si="0"/>
        <v>535965</v>
      </c>
      <c r="I20" s="452">
        <f t="shared" si="1"/>
        <v>0.12260697757037951</v>
      </c>
      <c r="J20" s="451">
        <f t="shared" si="2"/>
        <v>-176770</v>
      </c>
      <c r="K20" s="452">
        <f t="shared" si="3"/>
        <v>-4.0437781245260394E-2</v>
      </c>
      <c r="L20" s="453">
        <f t="shared" si="4"/>
        <v>1</v>
      </c>
      <c r="M20" s="452">
        <f t="shared" si="5"/>
        <v>8.4993045811453671E-3</v>
      </c>
      <c r="N20" s="451">
        <f t="shared" si="6"/>
        <v>839918.40480751614</v>
      </c>
      <c r="O20" s="410">
        <f t="shared" si="7"/>
        <v>8.370472125014964E-3</v>
      </c>
      <c r="P20" s="454">
        <f t="shared" si="8"/>
        <v>827186.92189531063</v>
      </c>
      <c r="Q20" s="302" t="str">
        <f t="shared" si="9"/>
        <v/>
      </c>
      <c r="R20" s="466" t="s">
        <v>296</v>
      </c>
      <c r="S20" s="455">
        <f t="shared" si="10"/>
        <v>1</v>
      </c>
      <c r="T20" s="455">
        <f t="shared" si="11"/>
        <v>1</v>
      </c>
      <c r="U20" s="455">
        <f t="shared" si="12"/>
        <v>1</v>
      </c>
      <c r="W20" s="456"/>
    </row>
    <row r="21" spans="1:23" ht="15.75">
      <c r="A21" s="341">
        <f>'חריגות שכר'!A16</f>
        <v>11</v>
      </c>
      <c r="B21" s="447" t="str">
        <f>'חריגות שכר'!B16</f>
        <v>אספקלריא</v>
      </c>
      <c r="C21" s="448">
        <f>'חריגות שכר'!I16</f>
        <v>1.5903386877313401E-2</v>
      </c>
      <c r="D21" s="467">
        <v>3728897</v>
      </c>
      <c r="E21" s="468">
        <v>-49527</v>
      </c>
      <c r="F21" s="468">
        <v>-464762</v>
      </c>
      <c r="G21" s="450"/>
      <c r="H21" s="451">
        <f t="shared" si="0"/>
        <v>-49527</v>
      </c>
      <c r="I21" s="452">
        <f t="shared" si="1"/>
        <v>-1.3281943695414489E-2</v>
      </c>
      <c r="J21" s="451">
        <f t="shared" si="2"/>
        <v>-464762</v>
      </c>
      <c r="K21" s="452">
        <f t="shared" si="3"/>
        <v>-0.12463792912488598</v>
      </c>
      <c r="L21" s="453">
        <f t="shared" si="4"/>
        <v>0</v>
      </c>
      <c r="M21" s="452">
        <f t="shared" si="5"/>
        <v>1.5903386877313401E-2</v>
      </c>
      <c r="N21" s="451">
        <f t="shared" si="6"/>
        <v>1571604.7365406682</v>
      </c>
      <c r="O21" s="410">
        <f t="shared" si="7"/>
        <v>1.5662323344098995E-2</v>
      </c>
      <c r="P21" s="454">
        <f t="shared" si="8"/>
        <v>1547782.352445401</v>
      </c>
      <c r="Q21" s="302" t="str">
        <f t="shared" si="9"/>
        <v/>
      </c>
      <c r="R21" s="466"/>
      <c r="S21" s="455">
        <f t="shared" si="10"/>
        <v>1</v>
      </c>
      <c r="T21" s="455">
        <f t="shared" si="11"/>
        <v>1</v>
      </c>
      <c r="U21" s="455">
        <f t="shared" si="12"/>
        <v>1</v>
      </c>
      <c r="W21" s="456"/>
    </row>
    <row r="22" spans="1:23" ht="15.75">
      <c r="A22" s="341">
        <f>'חריגות שכר'!A17</f>
        <v>12</v>
      </c>
      <c r="B22" s="447" t="str">
        <f>'חריגות שכר'!B17</f>
        <v/>
      </c>
      <c r="C22" s="448" t="str">
        <f>'חריגות שכר'!I17</f>
        <v/>
      </c>
      <c r="D22" s="449"/>
      <c r="E22" s="449"/>
      <c r="F22" s="449"/>
      <c r="G22" s="450"/>
      <c r="H22" s="451" t="str">
        <f t="shared" si="0"/>
        <v/>
      </c>
      <c r="I22" s="452" t="str">
        <f t="shared" si="1"/>
        <v/>
      </c>
      <c r="J22" s="451" t="str">
        <f t="shared" si="2"/>
        <v/>
      </c>
      <c r="K22" s="452" t="str">
        <f t="shared" si="3"/>
        <v/>
      </c>
      <c r="L22" s="453" t="str">
        <f t="shared" si="4"/>
        <v/>
      </c>
      <c r="M22" s="452" t="str">
        <f t="shared" si="5"/>
        <v/>
      </c>
      <c r="N22" s="451" t="str">
        <f t="shared" si="6"/>
        <v/>
      </c>
      <c r="O22" s="410" t="str">
        <f t="shared" si="7"/>
        <v/>
      </c>
      <c r="P22" s="454" t="str">
        <f t="shared" si="8"/>
        <v/>
      </c>
      <c r="Q22" s="302" t="str">
        <f t="shared" si="9"/>
        <v/>
      </c>
      <c r="R22" s="466"/>
      <c r="S22" s="455">
        <f t="shared" si="10"/>
        <v>0</v>
      </c>
      <c r="T22" s="455">
        <f t="shared" si="11"/>
        <v>0</v>
      </c>
      <c r="U22" s="455">
        <f t="shared" si="12"/>
        <v>0</v>
      </c>
      <c r="W22" s="456"/>
    </row>
    <row r="23" spans="1:23" ht="15.75">
      <c r="A23" s="341">
        <f>'חריגות שכר'!A18</f>
        <v>13</v>
      </c>
      <c r="B23" s="447" t="str">
        <f>'חריגות שכר'!B18</f>
        <v>עכו</v>
      </c>
      <c r="C23" s="448">
        <f>'חריגות שכר'!I18</f>
        <v>1.4784758390725397E-2</v>
      </c>
      <c r="D23" s="467">
        <v>3073617</v>
      </c>
      <c r="E23" s="468">
        <v>-32679</v>
      </c>
      <c r="F23" s="468">
        <v>84314</v>
      </c>
      <c r="G23" s="450"/>
      <c r="H23" s="451">
        <f t="shared" si="0"/>
        <v>-32679</v>
      </c>
      <c r="I23" s="452">
        <f t="shared" si="1"/>
        <v>-1.0632098924491894E-2</v>
      </c>
      <c r="J23" s="451">
        <f t="shared" si="2"/>
        <v>84314</v>
      </c>
      <c r="K23" s="452">
        <f t="shared" si="3"/>
        <v>2.7431524487273463E-2</v>
      </c>
      <c r="L23" s="453">
        <f t="shared" si="4"/>
        <v>0</v>
      </c>
      <c r="M23" s="452">
        <f t="shared" si="5"/>
        <v>1.4784758390725397E-2</v>
      </c>
      <c r="N23" s="451">
        <f t="shared" si="6"/>
        <v>1461059.615459641</v>
      </c>
      <c r="O23" s="410">
        <f t="shared" si="7"/>
        <v>1.4560651027753939E-2</v>
      </c>
      <c r="P23" s="454">
        <f t="shared" si="8"/>
        <v>1438912.8742744653</v>
      </c>
      <c r="Q23" s="302" t="str">
        <f t="shared" si="9"/>
        <v/>
      </c>
      <c r="R23" s="466"/>
      <c r="S23" s="455">
        <f t="shared" si="10"/>
        <v>1</v>
      </c>
      <c r="T23" s="455">
        <f t="shared" si="11"/>
        <v>1</v>
      </c>
      <c r="U23" s="455">
        <f t="shared" si="12"/>
        <v>1</v>
      </c>
      <c r="W23" s="456"/>
    </row>
    <row r="24" spans="1:23" ht="15.75">
      <c r="A24" s="341">
        <f>'חריגות שכר'!A19</f>
        <v>14</v>
      </c>
      <c r="B24" s="447" t="str">
        <f>'חריגות שכר'!B19</f>
        <v>הספרייה</v>
      </c>
      <c r="C24" s="448">
        <f>'חריגות שכר'!I19</f>
        <v>8.4703942713680643E-3</v>
      </c>
      <c r="D24" s="467">
        <v>2634737</v>
      </c>
      <c r="E24" s="468">
        <v>162492</v>
      </c>
      <c r="F24" s="468">
        <v>254283</v>
      </c>
      <c r="G24" s="450"/>
      <c r="H24" s="451">
        <f t="shared" si="0"/>
        <v>162492</v>
      </c>
      <c r="I24" s="452">
        <f t="shared" si="1"/>
        <v>6.1672948761109743E-2</v>
      </c>
      <c r="J24" s="451">
        <f t="shared" si="2"/>
        <v>254283</v>
      </c>
      <c r="K24" s="452">
        <f t="shared" si="3"/>
        <v>9.6511720145122645E-2</v>
      </c>
      <c r="L24" s="453">
        <f t="shared" si="4"/>
        <v>1</v>
      </c>
      <c r="M24" s="452">
        <f t="shared" si="5"/>
        <v>8.7245060995091057E-3</v>
      </c>
      <c r="N24" s="451">
        <f t="shared" si="6"/>
        <v>862173.27263328037</v>
      </c>
      <c r="O24" s="410">
        <f t="shared" si="7"/>
        <v>8.5922600388351686E-3</v>
      </c>
      <c r="P24" s="454">
        <f t="shared" si="8"/>
        <v>849104.45044166956</v>
      </c>
      <c r="Q24" s="302" t="str">
        <f t="shared" si="9"/>
        <v/>
      </c>
      <c r="R24" s="466"/>
      <c r="S24" s="455">
        <f t="shared" si="10"/>
        <v>1</v>
      </c>
      <c r="T24" s="455">
        <f t="shared" si="11"/>
        <v>1</v>
      </c>
      <c r="U24" s="455">
        <f t="shared" si="12"/>
        <v>1</v>
      </c>
      <c r="W24" s="456"/>
    </row>
    <row r="25" spans="1:23" ht="15.75">
      <c r="A25" s="341">
        <f>'חריגות שכר'!A20</f>
        <v>15</v>
      </c>
      <c r="B25" s="447" t="str">
        <f>'חריגות שכר'!B20</f>
        <v>יפו</v>
      </c>
      <c r="C25" s="448">
        <f>'חריגות שכר'!I20</f>
        <v>8.9515371597192715E-3</v>
      </c>
      <c r="D25" s="467">
        <v>3909803</v>
      </c>
      <c r="E25" s="468">
        <v>-200336</v>
      </c>
      <c r="F25" s="468">
        <v>-145382</v>
      </c>
      <c r="G25" s="450"/>
      <c r="H25" s="451">
        <f t="shared" si="0"/>
        <v>-200336</v>
      </c>
      <c r="I25" s="452">
        <f t="shared" si="1"/>
        <v>-5.1239410272077644E-2</v>
      </c>
      <c r="J25" s="451">
        <f t="shared" si="2"/>
        <v>-145382</v>
      </c>
      <c r="K25" s="452">
        <f t="shared" si="3"/>
        <v>-3.7183970650183654E-2</v>
      </c>
      <c r="L25" s="453">
        <f t="shared" si="4"/>
        <v>0</v>
      </c>
      <c r="M25" s="452">
        <f t="shared" si="5"/>
        <v>8.9515371597192715E-3</v>
      </c>
      <c r="N25" s="451">
        <f t="shared" si="6"/>
        <v>884608.93947083526</v>
      </c>
      <c r="O25" s="410">
        <f t="shared" si="7"/>
        <v>8.8158497623070722E-3</v>
      </c>
      <c r="P25" s="454">
        <f t="shared" si="8"/>
        <v>871200.03744845593</v>
      </c>
      <c r="Q25" s="302" t="str">
        <f t="shared" si="9"/>
        <v/>
      </c>
      <c r="R25" s="466"/>
      <c r="S25" s="455">
        <f t="shared" si="10"/>
        <v>1</v>
      </c>
      <c r="T25" s="455">
        <f t="shared" si="11"/>
        <v>1</v>
      </c>
      <c r="U25" s="455">
        <f t="shared" si="12"/>
        <v>1</v>
      </c>
      <c r="W25" s="456"/>
    </row>
    <row r="26" spans="1:23" ht="15.75">
      <c r="A26" s="341">
        <f>'חריגות שכר'!A21</f>
        <v>16</v>
      </c>
      <c r="B26" s="447" t="str">
        <f>'חריגות שכר'!B21</f>
        <v/>
      </c>
      <c r="C26" s="448" t="str">
        <f>'חריגות שכר'!I21</f>
        <v/>
      </c>
      <c r="D26" s="449"/>
      <c r="E26" s="449"/>
      <c r="F26" s="449"/>
      <c r="G26" s="450"/>
      <c r="H26" s="451" t="str">
        <f t="shared" si="0"/>
        <v/>
      </c>
      <c r="I26" s="452" t="str">
        <f t="shared" si="1"/>
        <v/>
      </c>
      <c r="J26" s="451" t="str">
        <f t="shared" si="2"/>
        <v/>
      </c>
      <c r="K26" s="452" t="str">
        <f t="shared" si="3"/>
        <v/>
      </c>
      <c r="L26" s="453" t="str">
        <f t="shared" si="4"/>
        <v/>
      </c>
      <c r="M26" s="452" t="str">
        <f t="shared" si="5"/>
        <v/>
      </c>
      <c r="N26" s="451" t="str">
        <f t="shared" si="6"/>
        <v/>
      </c>
      <c r="O26" s="410" t="str">
        <f t="shared" si="7"/>
        <v/>
      </c>
      <c r="P26" s="454" t="str">
        <f t="shared" si="8"/>
        <v/>
      </c>
      <c r="Q26" s="302" t="str">
        <f t="shared" si="9"/>
        <v/>
      </c>
      <c r="R26" s="466"/>
      <c r="S26" s="455">
        <f t="shared" si="10"/>
        <v>0</v>
      </c>
      <c r="T26" s="455">
        <f t="shared" si="11"/>
        <v>0</v>
      </c>
      <c r="U26" s="455">
        <f t="shared" si="12"/>
        <v>0</v>
      </c>
      <c r="W26" s="456"/>
    </row>
    <row r="27" spans="1:23" ht="15.75">
      <c r="A27" s="341">
        <f>'חריגות שכר'!A22</f>
        <v>17</v>
      </c>
      <c r="B27" s="447" t="str">
        <f>'חריגות שכר'!B22</f>
        <v>אינקובטור</v>
      </c>
      <c r="C27" s="448">
        <f>'חריגות שכר'!I22</f>
        <v>1.7374406487513074E-2</v>
      </c>
      <c r="D27" s="467">
        <v>5388032</v>
      </c>
      <c r="E27" s="468">
        <v>27539</v>
      </c>
      <c r="F27" s="468">
        <v>485237</v>
      </c>
      <c r="G27" s="450"/>
      <c r="H27" s="451">
        <f t="shared" si="0"/>
        <v>27539</v>
      </c>
      <c r="I27" s="452">
        <f t="shared" si="1"/>
        <v>5.111142621276191E-3</v>
      </c>
      <c r="J27" s="451">
        <f t="shared" si="2"/>
        <v>485237</v>
      </c>
      <c r="K27" s="452">
        <f t="shared" si="3"/>
        <v>9.0058299579512516E-2</v>
      </c>
      <c r="L27" s="453">
        <f t="shared" si="4"/>
        <v>1</v>
      </c>
      <c r="M27" s="452">
        <f t="shared" si="5"/>
        <v>1.7895638682138466E-2</v>
      </c>
      <c r="N27" s="451">
        <f t="shared" si="6"/>
        <v>1768483.0742808676</v>
      </c>
      <c r="O27" s="410">
        <f t="shared" si="7"/>
        <v>1.762437659670189E-2</v>
      </c>
      <c r="P27" s="454">
        <f t="shared" si="8"/>
        <v>1741676.408404923</v>
      </c>
      <c r="Q27" s="302" t="str">
        <f t="shared" si="9"/>
        <v/>
      </c>
      <c r="R27" s="466"/>
      <c r="S27" s="455">
        <f t="shared" si="10"/>
        <v>1</v>
      </c>
      <c r="T27" s="455">
        <f t="shared" si="11"/>
        <v>1</v>
      </c>
      <c r="U27" s="455">
        <f t="shared" si="12"/>
        <v>1</v>
      </c>
      <c r="W27" s="456"/>
    </row>
    <row r="28" spans="1:23" ht="15.75">
      <c r="A28" s="341">
        <f>'חריגות שכר'!A23</f>
        <v>18</v>
      </c>
      <c r="B28" s="447" t="str">
        <f>'חריגות שכר'!B23</f>
        <v>אורנה פורת</v>
      </c>
      <c r="C28" s="448">
        <f>'חריגות שכר'!I23</f>
        <v>5.6935470745992089E-2</v>
      </c>
      <c r="D28" s="467">
        <v>25605892</v>
      </c>
      <c r="E28" s="468">
        <v>1167008</v>
      </c>
      <c r="F28" s="468">
        <v>7030374</v>
      </c>
      <c r="G28" s="450"/>
      <c r="H28" s="451">
        <f t="shared" si="0"/>
        <v>1167008</v>
      </c>
      <c r="I28" s="452">
        <f t="shared" si="1"/>
        <v>4.5575760453883035E-2</v>
      </c>
      <c r="J28" s="451">
        <f t="shared" si="2"/>
        <v>7030374</v>
      </c>
      <c r="K28" s="452">
        <f t="shared" si="3"/>
        <v>0.2745607924926029</v>
      </c>
      <c r="L28" s="453">
        <f t="shared" si="4"/>
        <v>1</v>
      </c>
      <c r="M28" s="452">
        <f t="shared" si="5"/>
        <v>5.8643534868371851E-2</v>
      </c>
      <c r="N28" s="451">
        <f t="shared" si="6"/>
        <v>5795272.2824152661</v>
      </c>
      <c r="O28" s="410">
        <f t="shared" si="7"/>
        <v>5.7754616185539676E-2</v>
      </c>
      <c r="P28" s="454">
        <f t="shared" si="8"/>
        <v>5707427.5470066443</v>
      </c>
      <c r="Q28" s="302" t="str">
        <f t="shared" si="9"/>
        <v/>
      </c>
      <c r="R28" s="466"/>
      <c r="S28" s="455">
        <f t="shared" si="10"/>
        <v>1</v>
      </c>
      <c r="T28" s="455">
        <f t="shared" si="11"/>
        <v>1</v>
      </c>
      <c r="U28" s="455">
        <f t="shared" si="12"/>
        <v>1</v>
      </c>
      <c r="W28" s="456"/>
    </row>
    <row r="29" spans="1:23" ht="15.75">
      <c r="A29" s="341">
        <f>'חריגות שכר'!A24</f>
        <v>19</v>
      </c>
      <c r="B29" s="447" t="str">
        <f>'חריגות שכר'!B24</f>
        <v>ארצי לנוער</v>
      </c>
      <c r="C29" s="448">
        <f>'חריגות שכר'!I24</f>
        <v>3.9952941027218969E-2</v>
      </c>
      <c r="D29" s="467">
        <v>13866340</v>
      </c>
      <c r="E29" s="468">
        <v>-52750</v>
      </c>
      <c r="F29" s="468">
        <v>-281500</v>
      </c>
      <c r="G29" s="450"/>
      <c r="H29" s="451">
        <f t="shared" si="0"/>
        <v>-52750</v>
      </c>
      <c r="I29" s="452">
        <f t="shared" si="1"/>
        <v>-3.8041761560729075E-3</v>
      </c>
      <c r="J29" s="451">
        <f t="shared" si="2"/>
        <v>-281500</v>
      </c>
      <c r="K29" s="452">
        <f t="shared" si="3"/>
        <v>-2.0300959012976749E-2</v>
      </c>
      <c r="L29" s="453">
        <f t="shared" si="4"/>
        <v>0</v>
      </c>
      <c r="M29" s="452">
        <f t="shared" si="5"/>
        <v>3.9952941027218969E-2</v>
      </c>
      <c r="N29" s="451">
        <f t="shared" si="6"/>
        <v>3948230.1374859484</v>
      </c>
      <c r="O29" s="410">
        <f t="shared" si="7"/>
        <v>3.934733435987018E-2</v>
      </c>
      <c r="P29" s="454">
        <f t="shared" si="8"/>
        <v>3888382.8663211064</v>
      </c>
      <c r="Q29" s="302" t="str">
        <f t="shared" si="9"/>
        <v/>
      </c>
      <c r="R29" s="466"/>
      <c r="S29" s="455">
        <f t="shared" si="10"/>
        <v>1</v>
      </c>
      <c r="T29" s="455">
        <f t="shared" si="11"/>
        <v>1</v>
      </c>
      <c r="U29" s="455">
        <f t="shared" si="12"/>
        <v>1</v>
      </c>
      <c r="W29" s="456"/>
    </row>
    <row r="30" spans="1:23" ht="15.75">
      <c r="A30" s="341">
        <f>'חריגות שכר'!A25</f>
        <v>20</v>
      </c>
      <c r="B30" s="447" t="str">
        <f>'חריגות שכר'!B25</f>
        <v>הקיבוץ</v>
      </c>
      <c r="C30" s="448">
        <f>'חריגות שכר'!I25</f>
        <v>6.7707524597744742E-3</v>
      </c>
      <c r="D30" s="467">
        <v>5054199</v>
      </c>
      <c r="E30" s="468">
        <v>86805</v>
      </c>
      <c r="F30" s="468">
        <v>-539066</v>
      </c>
      <c r="G30" s="450"/>
      <c r="H30" s="451">
        <f t="shared" si="0"/>
        <v>86805</v>
      </c>
      <c r="I30" s="452">
        <f t="shared" si="1"/>
        <v>1.7174828296234478E-2</v>
      </c>
      <c r="J30" s="451">
        <f t="shared" si="2"/>
        <v>-539066</v>
      </c>
      <c r="K30" s="452">
        <f t="shared" si="3"/>
        <v>-0.10665705881386942</v>
      </c>
      <c r="L30" s="453">
        <f t="shared" si="4"/>
        <v>1</v>
      </c>
      <c r="M30" s="452">
        <f t="shared" si="5"/>
        <v>6.9738750335677085E-3</v>
      </c>
      <c r="N30" s="451">
        <f t="shared" si="6"/>
        <v>689172.38317535364</v>
      </c>
      <c r="O30" s="410">
        <f t="shared" si="7"/>
        <v>6.8681650380329994E-3</v>
      </c>
      <c r="P30" s="454">
        <f t="shared" si="8"/>
        <v>678725.90841097268</v>
      </c>
      <c r="Q30" s="302" t="str">
        <f t="shared" si="9"/>
        <v/>
      </c>
      <c r="R30" s="466"/>
      <c r="S30" s="455">
        <f t="shared" si="10"/>
        <v>1</v>
      </c>
      <c r="T30" s="455">
        <f t="shared" si="11"/>
        <v>1</v>
      </c>
      <c r="U30" s="455">
        <f t="shared" si="12"/>
        <v>1</v>
      </c>
      <c r="W30" s="456"/>
    </row>
    <row r="31" spans="1:23" ht="15.75">
      <c r="A31" s="341">
        <f>'חריגות שכר'!A26</f>
        <v>21</v>
      </c>
      <c r="B31" s="447" t="str">
        <f>'חריגות שכר'!B26</f>
        <v>הקרון</v>
      </c>
      <c r="C31" s="448">
        <f>'חריגות שכר'!I26</f>
        <v>2.2033089685559198E-2</v>
      </c>
      <c r="D31" s="467">
        <v>6817809</v>
      </c>
      <c r="E31" s="468">
        <v>54185</v>
      </c>
      <c r="F31" s="468">
        <v>618499</v>
      </c>
      <c r="G31" s="450"/>
      <c r="H31" s="451">
        <f t="shared" si="0"/>
        <v>54185</v>
      </c>
      <c r="I31" s="452">
        <f t="shared" si="1"/>
        <v>7.9475679063464519E-3</v>
      </c>
      <c r="J31" s="451">
        <f t="shared" si="2"/>
        <v>618499</v>
      </c>
      <c r="K31" s="452">
        <f t="shared" si="3"/>
        <v>9.0718147134952007E-2</v>
      </c>
      <c r="L31" s="453">
        <f t="shared" si="4"/>
        <v>1</v>
      </c>
      <c r="M31" s="452">
        <f t="shared" si="5"/>
        <v>2.2694082376125975E-2</v>
      </c>
      <c r="N31" s="451">
        <f t="shared" si="6"/>
        <v>2242674.9489847566</v>
      </c>
      <c r="O31" s="410">
        <f t="shared" si="7"/>
        <v>2.2350085482706256E-2</v>
      </c>
      <c r="P31" s="454">
        <f t="shared" si="8"/>
        <v>2208680.4828232797</v>
      </c>
      <c r="Q31" s="302" t="str">
        <f t="shared" si="9"/>
        <v/>
      </c>
      <c r="R31" s="466"/>
      <c r="S31" s="455">
        <f t="shared" si="10"/>
        <v>1</v>
      </c>
      <c r="T31" s="455">
        <f t="shared" si="11"/>
        <v>1</v>
      </c>
      <c r="U31" s="455">
        <f t="shared" si="12"/>
        <v>1</v>
      </c>
      <c r="W31" s="456"/>
    </row>
    <row r="32" spans="1:23" ht="15.75">
      <c r="A32" s="341">
        <f>'חריגות שכר'!A27</f>
        <v>22</v>
      </c>
      <c r="B32" s="447" t="str">
        <f>'חריגות שכר'!B27</f>
        <v>בית הגפן</v>
      </c>
      <c r="C32" s="448">
        <f>'חריגות שכר'!I27</f>
        <v>1.2409674704331821E-2</v>
      </c>
      <c r="D32" s="467">
        <v>13752220</v>
      </c>
      <c r="E32" s="468">
        <v>27629</v>
      </c>
      <c r="F32" s="468">
        <v>-935649</v>
      </c>
      <c r="G32" s="450"/>
      <c r="H32" s="451">
        <f t="shared" si="0"/>
        <v>27629</v>
      </c>
      <c r="I32" s="452">
        <f t="shared" si="1"/>
        <v>2.009057446724965E-3</v>
      </c>
      <c r="J32" s="451">
        <f t="shared" si="2"/>
        <v>-935649</v>
      </c>
      <c r="K32" s="452">
        <f t="shared" si="3"/>
        <v>-6.8036215243793371E-2</v>
      </c>
      <c r="L32" s="453">
        <f t="shared" si="4"/>
        <v>1</v>
      </c>
      <c r="M32" s="452">
        <f t="shared" si="5"/>
        <v>1.2781964945461776E-2</v>
      </c>
      <c r="N32" s="451">
        <f t="shared" si="6"/>
        <v>1263139.5315698979</v>
      </c>
      <c r="O32" s="410">
        <f t="shared" si="7"/>
        <v>1.2588215924894893E-2</v>
      </c>
      <c r="P32" s="454">
        <f t="shared" si="8"/>
        <v>1243992.8629532021</v>
      </c>
      <c r="Q32" s="302" t="str">
        <f t="shared" si="9"/>
        <v/>
      </c>
      <c r="R32" s="466" t="s">
        <v>297</v>
      </c>
      <c r="S32" s="455">
        <f t="shared" si="10"/>
        <v>1</v>
      </c>
      <c r="T32" s="455">
        <f t="shared" si="11"/>
        <v>1</v>
      </c>
      <c r="U32" s="455">
        <f t="shared" si="12"/>
        <v>1</v>
      </c>
      <c r="W32" s="456"/>
    </row>
    <row r="33" spans="1:23" ht="15.75">
      <c r="A33" s="341">
        <f>'חריגות שכר'!A28</f>
        <v>23</v>
      </c>
      <c r="B33" s="447" t="str">
        <f>'חריגות שכר'!B28</f>
        <v>הנפש</v>
      </c>
      <c r="C33" s="448">
        <f>'חריגות שכר'!I28</f>
        <v>8.2612623861096877E-3</v>
      </c>
      <c r="D33" s="467">
        <v>3656688</v>
      </c>
      <c r="E33" s="468">
        <v>60362</v>
      </c>
      <c r="F33" s="468">
        <v>-225752</v>
      </c>
      <c r="G33" s="450"/>
      <c r="H33" s="451">
        <f t="shared" si="0"/>
        <v>60362</v>
      </c>
      <c r="I33" s="452">
        <f t="shared" si="1"/>
        <v>1.6507287468878942E-2</v>
      </c>
      <c r="J33" s="451">
        <f t="shared" si="2"/>
        <v>-225752</v>
      </c>
      <c r="K33" s="452">
        <f t="shared" si="3"/>
        <v>-6.1736741007162768E-2</v>
      </c>
      <c r="L33" s="453">
        <f t="shared" si="4"/>
        <v>1</v>
      </c>
      <c r="M33" s="452">
        <f t="shared" si="5"/>
        <v>8.5091002576929784E-3</v>
      </c>
      <c r="N33" s="451">
        <f t="shared" si="6"/>
        <v>840886.4333022394</v>
      </c>
      <c r="O33" s="410">
        <f t="shared" si="7"/>
        <v>8.3801193187005921E-3</v>
      </c>
      <c r="P33" s="454">
        <f t="shared" si="8"/>
        <v>828140.27701441967</v>
      </c>
      <c r="Q33" s="302" t="str">
        <f t="shared" si="9"/>
        <v/>
      </c>
      <c r="R33" s="466"/>
      <c r="S33" s="455">
        <f t="shared" si="10"/>
        <v>1</v>
      </c>
      <c r="T33" s="455">
        <f t="shared" si="11"/>
        <v>1</v>
      </c>
      <c r="U33" s="455">
        <f t="shared" si="12"/>
        <v>1</v>
      </c>
      <c r="W33" s="456"/>
    </row>
    <row r="34" spans="1:23" ht="15.75">
      <c r="A34" s="341">
        <f>'חריגות שכר'!A29</f>
        <v>24</v>
      </c>
      <c r="B34" s="447" t="str">
        <f>'חריגות שכר'!B29</f>
        <v>השעה</v>
      </c>
      <c r="C34" s="448">
        <f>'חריגות שכר'!I29</f>
        <v>4.0375880648594077E-2</v>
      </c>
      <c r="D34" s="467">
        <v>13558576</v>
      </c>
      <c r="E34" s="468">
        <v>456405</v>
      </c>
      <c r="F34" s="468">
        <v>1463929</v>
      </c>
      <c r="G34" s="450"/>
      <c r="H34" s="451">
        <f t="shared" si="0"/>
        <v>456405</v>
      </c>
      <c r="I34" s="452">
        <f t="shared" si="1"/>
        <v>3.3661720817879402E-2</v>
      </c>
      <c r="J34" s="451">
        <f t="shared" si="2"/>
        <v>1463929</v>
      </c>
      <c r="K34" s="452">
        <f t="shared" si="3"/>
        <v>0.10797070429815049</v>
      </c>
      <c r="L34" s="453">
        <f t="shared" si="4"/>
        <v>1</v>
      </c>
      <c r="M34" s="452">
        <f t="shared" si="5"/>
        <v>4.1587157068051904E-2</v>
      </c>
      <c r="N34" s="451">
        <f t="shared" si="6"/>
        <v>4109726.6595863812</v>
      </c>
      <c r="O34" s="410">
        <f t="shared" si="7"/>
        <v>4.0956778954477358E-2</v>
      </c>
      <c r="P34" s="454">
        <f t="shared" si="8"/>
        <v>4047431.4241910456</v>
      </c>
      <c r="Q34" s="302" t="str">
        <f t="shared" si="9"/>
        <v/>
      </c>
      <c r="R34" s="466"/>
      <c r="S34" s="455">
        <f t="shared" si="10"/>
        <v>1</v>
      </c>
      <c r="T34" s="455">
        <f t="shared" si="11"/>
        <v>1</v>
      </c>
      <c r="U34" s="455">
        <f t="shared" si="12"/>
        <v>1</v>
      </c>
      <c r="W34" s="456"/>
    </row>
    <row r="35" spans="1:23" ht="15.75">
      <c r="A35" s="341">
        <f>'חריגות שכר'!A30</f>
        <v>25</v>
      </c>
      <c r="B35" s="447" t="str">
        <f>'חריגות שכר'!B30</f>
        <v>עדי</v>
      </c>
      <c r="C35" s="448">
        <f>'חריגות שכר'!I30</f>
        <v>4.3418193663506358E-3</v>
      </c>
      <c r="D35" s="467">
        <v>3976635</v>
      </c>
      <c r="E35" s="468">
        <v>15309</v>
      </c>
      <c r="F35" s="468">
        <v>-742078</v>
      </c>
      <c r="G35" s="450"/>
      <c r="H35" s="451">
        <f t="shared" si="0"/>
        <v>15309</v>
      </c>
      <c r="I35" s="452">
        <f t="shared" si="1"/>
        <v>3.8497372778743839E-3</v>
      </c>
      <c r="J35" s="451">
        <f t="shared" si="2"/>
        <v>-742078</v>
      </c>
      <c r="K35" s="452">
        <f t="shared" si="3"/>
        <v>-0.1866095329342522</v>
      </c>
      <c r="L35" s="453">
        <f t="shared" si="4"/>
        <v>1</v>
      </c>
      <c r="M35" s="452">
        <f t="shared" si="5"/>
        <v>4.4720739473411552E-3</v>
      </c>
      <c r="N35" s="451">
        <f t="shared" si="6"/>
        <v>441939.35870525683</v>
      </c>
      <c r="O35" s="410">
        <f t="shared" si="7"/>
        <v>4.4042862518735926E-3</v>
      </c>
      <c r="P35" s="454">
        <f t="shared" si="8"/>
        <v>435240.44204694597</v>
      </c>
      <c r="Q35" s="302" t="str">
        <f t="shared" si="9"/>
        <v/>
      </c>
      <c r="R35" s="466"/>
      <c r="S35" s="455">
        <f t="shared" si="10"/>
        <v>1</v>
      </c>
      <c r="T35" s="455">
        <f t="shared" si="11"/>
        <v>1</v>
      </c>
      <c r="U35" s="455">
        <f t="shared" si="12"/>
        <v>1</v>
      </c>
      <c r="W35" s="456"/>
    </row>
    <row r="36" spans="1:23" ht="15.75">
      <c r="A36" s="341">
        <f>'חריגות שכר'!A31</f>
        <v>26</v>
      </c>
      <c r="B36" s="447" t="str">
        <f>'חריגות שכר'!B31</f>
        <v>מדייטק</v>
      </c>
      <c r="C36" s="448">
        <f>'חריגות שכר'!I31</f>
        <v>1.814145261806176E-2</v>
      </c>
      <c r="D36" s="527">
        <v>72996000</v>
      </c>
      <c r="E36" s="527">
        <v>4198000</v>
      </c>
      <c r="F36" s="527">
        <v>551000</v>
      </c>
      <c r="G36" s="450"/>
      <c r="H36" s="451">
        <f t="shared" si="0"/>
        <v>4198000</v>
      </c>
      <c r="I36" s="452">
        <f t="shared" si="1"/>
        <v>5.7510000547975233E-2</v>
      </c>
      <c r="J36" s="451">
        <f t="shared" si="2"/>
        <v>551000</v>
      </c>
      <c r="K36" s="452">
        <f t="shared" si="3"/>
        <v>7.5483588141815987E-3</v>
      </c>
      <c r="L36" s="453">
        <f t="shared" si="4"/>
        <v>1</v>
      </c>
      <c r="M36" s="452">
        <f t="shared" si="5"/>
        <v>1.8685696196603614E-2</v>
      </c>
      <c r="N36" s="451">
        <f t="shared" si="6"/>
        <v>1846558.1498262053</v>
      </c>
      <c r="O36" s="410">
        <f t="shared" si="7"/>
        <v>1.8402458419614742E-2</v>
      </c>
      <c r="P36" s="454">
        <f t="shared" si="8"/>
        <v>1818568.0219800444</v>
      </c>
      <c r="Q36" s="302" t="str">
        <f t="shared" si="9"/>
        <v/>
      </c>
      <c r="R36" s="466" t="s">
        <v>297</v>
      </c>
      <c r="S36" s="455">
        <f t="shared" si="10"/>
        <v>1</v>
      </c>
      <c r="T36" s="455">
        <f t="shared" si="11"/>
        <v>1</v>
      </c>
      <c r="U36" s="455">
        <f t="shared" si="12"/>
        <v>1</v>
      </c>
      <c r="W36" s="456"/>
    </row>
    <row r="37" spans="1:23" ht="15.75">
      <c r="A37" s="341">
        <f>'חריגות שכר'!A32</f>
        <v>27</v>
      </c>
      <c r="B37" s="447" t="str">
        <f>'חריגות שכר'!B32</f>
        <v>חני</v>
      </c>
      <c r="C37" s="448">
        <f>'חריגות שכר'!I32</f>
        <v>4.2988868423697799E-3</v>
      </c>
      <c r="D37" s="467">
        <v>1847332</v>
      </c>
      <c r="E37" s="468">
        <v>-16289</v>
      </c>
      <c r="F37" s="468">
        <v>-205203</v>
      </c>
      <c r="G37" s="450"/>
      <c r="H37" s="451">
        <f t="shared" si="0"/>
        <v>-16289</v>
      </c>
      <c r="I37" s="452">
        <f t="shared" si="1"/>
        <v>-8.8175812469009369E-3</v>
      </c>
      <c r="J37" s="451">
        <f t="shared" si="2"/>
        <v>-205203</v>
      </c>
      <c r="K37" s="452">
        <f t="shared" si="3"/>
        <v>-0.11108073697635293</v>
      </c>
      <c r="L37" s="453">
        <f t="shared" si="4"/>
        <v>0</v>
      </c>
      <c r="M37" s="452">
        <f t="shared" si="5"/>
        <v>4.2988868423697799E-3</v>
      </c>
      <c r="N37" s="451">
        <f t="shared" si="6"/>
        <v>424824.66001996904</v>
      </c>
      <c r="O37" s="410">
        <f t="shared" si="7"/>
        <v>4.2337243169841407E-3</v>
      </c>
      <c r="P37" s="454">
        <f t="shared" si="8"/>
        <v>418385.16795887152</v>
      </c>
      <c r="Q37" s="302" t="str">
        <f t="shared" si="9"/>
        <v/>
      </c>
      <c r="R37" s="466"/>
      <c r="S37" s="455">
        <f t="shared" si="10"/>
        <v>1</v>
      </c>
      <c r="T37" s="455">
        <f t="shared" si="11"/>
        <v>1</v>
      </c>
      <c r="U37" s="455">
        <f t="shared" si="12"/>
        <v>1</v>
      </c>
      <c r="W37" s="456"/>
    </row>
    <row r="38" spans="1:23" ht="15.75">
      <c r="A38" s="341">
        <f>'חריגות שכר'!A33</f>
        <v>28</v>
      </c>
      <c r="B38" s="447" t="str">
        <f>'חריגות שכר'!B33</f>
        <v xml:space="preserve">גשן </v>
      </c>
      <c r="C38" s="448">
        <f>'חריגות שכר'!I33</f>
        <v>8.2805206457423532E-3</v>
      </c>
      <c r="D38" s="467">
        <v>5138081</v>
      </c>
      <c r="E38" s="468">
        <v>571675</v>
      </c>
      <c r="F38" s="468">
        <v>399253</v>
      </c>
      <c r="G38" s="450"/>
      <c r="H38" s="451">
        <f t="shared" si="0"/>
        <v>571675</v>
      </c>
      <c r="I38" s="452">
        <f t="shared" si="1"/>
        <v>0.11126235651014454</v>
      </c>
      <c r="J38" s="451">
        <f t="shared" si="2"/>
        <v>399253</v>
      </c>
      <c r="K38" s="452">
        <f t="shared" si="3"/>
        <v>7.770469169326058E-2</v>
      </c>
      <c r="L38" s="453">
        <f t="shared" si="4"/>
        <v>1</v>
      </c>
      <c r="M38" s="452">
        <f t="shared" si="5"/>
        <v>8.5289362651146238E-3</v>
      </c>
      <c r="N38" s="451">
        <f t="shared" si="6"/>
        <v>842846.66752520134</v>
      </c>
      <c r="O38" s="410">
        <f t="shared" si="7"/>
        <v>8.3996546519280665E-3</v>
      </c>
      <c r="P38" s="454">
        <f t="shared" si="8"/>
        <v>830070.79800765519</v>
      </c>
      <c r="Q38" s="302" t="str">
        <f t="shared" si="9"/>
        <v/>
      </c>
      <c r="R38" s="466"/>
      <c r="S38" s="455">
        <f t="shared" si="10"/>
        <v>1</v>
      </c>
      <c r="T38" s="455">
        <f t="shared" si="11"/>
        <v>1</v>
      </c>
      <c r="U38" s="455">
        <f t="shared" si="12"/>
        <v>1</v>
      </c>
      <c r="W38" s="456"/>
    </row>
    <row r="39" spans="1:23" ht="15.75">
      <c r="A39" s="341">
        <f>'חריגות שכר'!A34</f>
        <v>29</v>
      </c>
      <c r="B39" s="447" t="str">
        <f>'חריגות שכר'!B34</f>
        <v>תיאטרון העברי</v>
      </c>
      <c r="C39" s="448">
        <f>'חריגות שכר'!I34</f>
        <v>6.5702588551208637E-3</v>
      </c>
      <c r="D39" s="467">
        <v>4534708</v>
      </c>
      <c r="E39" s="468">
        <v>405047</v>
      </c>
      <c r="F39" s="468">
        <v>-159934</v>
      </c>
      <c r="G39" s="450"/>
      <c r="H39" s="451">
        <f t="shared" si="0"/>
        <v>405047</v>
      </c>
      <c r="I39" s="452">
        <f t="shared" si="1"/>
        <v>8.9321517504544951E-2</v>
      </c>
      <c r="J39" s="451">
        <f t="shared" si="2"/>
        <v>-159934</v>
      </c>
      <c r="K39" s="452">
        <f t="shared" si="3"/>
        <v>-3.5268864059163234E-2</v>
      </c>
      <c r="L39" s="453">
        <f t="shared" si="4"/>
        <v>1</v>
      </c>
      <c r="M39" s="452">
        <f t="shared" si="5"/>
        <v>6.7673666207744895E-3</v>
      </c>
      <c r="N39" s="451">
        <f t="shared" si="6"/>
        <v>668764.80570867588</v>
      </c>
      <c r="O39" s="410">
        <f t="shared" si="7"/>
        <v>6.6647868796950388E-3</v>
      </c>
      <c r="P39" s="454">
        <f t="shared" si="8"/>
        <v>658627.66899702628</v>
      </c>
      <c r="Q39" s="302" t="str">
        <f t="shared" si="9"/>
        <v/>
      </c>
      <c r="R39" s="466"/>
      <c r="S39" s="455">
        <f t="shared" si="10"/>
        <v>1</v>
      </c>
      <c r="T39" s="455">
        <f t="shared" si="11"/>
        <v>1</v>
      </c>
      <c r="U39" s="455">
        <f t="shared" si="12"/>
        <v>1</v>
      </c>
      <c r="W39" s="456"/>
    </row>
    <row r="40" spans="1:23" ht="15.75">
      <c r="A40" s="341">
        <f>'חריגות שכר'!A35</f>
        <v>30</v>
      </c>
      <c r="B40" s="447" t="str">
        <f>'חריגות שכר'!B35</f>
        <v>גליון ריק 2</v>
      </c>
      <c r="C40" s="448">
        <f>'חריגות שכר'!I35</f>
        <v>0</v>
      </c>
      <c r="D40" s="467"/>
      <c r="E40" s="449"/>
      <c r="F40" s="449"/>
      <c r="G40" s="450"/>
      <c r="H40" s="451">
        <f t="shared" si="0"/>
        <v>0</v>
      </c>
      <c r="I40" s="452" t="str">
        <f t="shared" si="1"/>
        <v>--</v>
      </c>
      <c r="J40" s="451">
        <f t="shared" si="2"/>
        <v>0</v>
      </c>
      <c r="K40" s="452" t="str">
        <f t="shared" si="3"/>
        <v>--</v>
      </c>
      <c r="L40" s="453">
        <f t="shared" si="4"/>
        <v>1</v>
      </c>
      <c r="M40" s="452">
        <f t="shared" si="5"/>
        <v>0</v>
      </c>
      <c r="N40" s="451">
        <f t="shared" si="6"/>
        <v>0</v>
      </c>
      <c r="O40" s="410">
        <f t="shared" si="7"/>
        <v>0</v>
      </c>
      <c r="P40" s="454">
        <f t="shared" si="8"/>
        <v>0</v>
      </c>
      <c r="Q40" s="302" t="str">
        <f t="shared" si="9"/>
        <v/>
      </c>
      <c r="R40" s="466"/>
      <c r="S40" s="455">
        <f t="shared" si="10"/>
        <v>1</v>
      </c>
      <c r="T40" s="455">
        <f t="shared" si="11"/>
        <v>1</v>
      </c>
      <c r="U40" s="455">
        <f t="shared" si="12"/>
        <v>1</v>
      </c>
      <c r="W40" s="456"/>
    </row>
    <row r="41" spans="1:23" ht="15.75">
      <c r="A41" s="341">
        <f>'חריגות שכר'!A36</f>
        <v>31</v>
      </c>
      <c r="B41" s="447" t="str">
        <f>'חריגות שכר'!B36</f>
        <v>גליון ריק 3</v>
      </c>
      <c r="C41" s="448">
        <f>'חריגות שכר'!I36</f>
        <v>0</v>
      </c>
      <c r="D41" s="467"/>
      <c r="E41" s="449"/>
      <c r="F41" s="449"/>
      <c r="G41" s="450"/>
      <c r="H41" s="451">
        <f t="shared" ref="H41:H43" si="13">IF(OR(C41="",SUM(S41,U41)&lt;2),"",E41+G41)</f>
        <v>0</v>
      </c>
      <c r="I41" s="452" t="str">
        <f t="shared" ref="I41:I43" si="14">IF(H41="","",IF($D41=0,"--",H41/$D41))</f>
        <v>--</v>
      </c>
      <c r="J41" s="451">
        <f t="shared" ref="J41:J43" si="15">IF(OR(C41="",SUM(T41:U41)&lt;2),"",F41-E41+H41)</f>
        <v>0</v>
      </c>
      <c r="K41" s="452" t="str">
        <f t="shared" ref="K41:K43" si="16">IF(OR($C41="",D41&lt;0,T41="BAD"),"",IF($D41=0,"--",J41/$D41))</f>
        <v>--</v>
      </c>
      <c r="L41" s="453">
        <f t="shared" ref="L41:L43" si="17">IF(OR(I41="",K41=""),"",IF(AND(I41&gt;=$C$3,K41&gt;-$C$4),1,0))</f>
        <v>1</v>
      </c>
      <c r="M41" s="452">
        <f t="shared" ref="M41:M43" si="18">IF(OR(C41="",L41=""),"",IF(L41=1,C41*(1+$C$5),C41))</f>
        <v>0</v>
      </c>
      <c r="N41" s="451">
        <f t="shared" ref="N41:N43" si="19">IF(M41="","",IF(Q41=$S$10,IF(R41&lt;&gt;$T$10,0,M41*$H$7),M41*$H$7))</f>
        <v>0</v>
      </c>
      <c r="O41" s="410">
        <f t="shared" ref="O41:O43" si="20">IF(ISERR(N41/$N$44),"",N41/$N$44)</f>
        <v>0</v>
      </c>
      <c r="P41" s="454">
        <f t="shared" ref="P41:P43" si="21">IF(O41="","",O41*$H$7)</f>
        <v>0</v>
      </c>
      <c r="Q41" s="302" t="str">
        <f t="shared" si="9"/>
        <v/>
      </c>
      <c r="R41" s="466"/>
      <c r="S41" s="455">
        <f t="shared" si="10"/>
        <v>1</v>
      </c>
      <c r="T41" s="455">
        <f t="shared" si="11"/>
        <v>1</v>
      </c>
      <c r="U41" s="455">
        <f t="shared" si="12"/>
        <v>1</v>
      </c>
      <c r="W41" s="456"/>
    </row>
    <row r="42" spans="1:23" ht="15.75">
      <c r="A42" s="341">
        <f>'חריגות שכר'!A37</f>
        <v>32</v>
      </c>
      <c r="B42" s="447" t="str">
        <f>'חריגות שכר'!B37</f>
        <v/>
      </c>
      <c r="C42" s="448" t="str">
        <f>'חריגות שכר'!I37</f>
        <v/>
      </c>
      <c r="D42" s="449"/>
      <c r="E42" s="449"/>
      <c r="F42" s="449"/>
      <c r="G42" s="450"/>
      <c r="H42" s="451" t="str">
        <f t="shared" si="13"/>
        <v/>
      </c>
      <c r="I42" s="452" t="str">
        <f t="shared" si="14"/>
        <v/>
      </c>
      <c r="J42" s="451" t="str">
        <f t="shared" si="15"/>
        <v/>
      </c>
      <c r="K42" s="452" t="str">
        <f t="shared" si="16"/>
        <v/>
      </c>
      <c r="L42" s="453" t="str">
        <f t="shared" si="17"/>
        <v/>
      </c>
      <c r="M42" s="452" t="str">
        <f t="shared" si="18"/>
        <v/>
      </c>
      <c r="N42" s="451" t="str">
        <f t="shared" si="19"/>
        <v/>
      </c>
      <c r="O42" s="410" t="str">
        <f t="shared" si="20"/>
        <v/>
      </c>
      <c r="P42" s="454" t="str">
        <f t="shared" si="21"/>
        <v/>
      </c>
      <c r="Q42" s="302" t="str">
        <f t="shared" si="9"/>
        <v/>
      </c>
      <c r="R42" s="466"/>
      <c r="S42" s="455">
        <f t="shared" si="10"/>
        <v>0</v>
      </c>
      <c r="T42" s="455">
        <f t="shared" si="11"/>
        <v>0</v>
      </c>
      <c r="U42" s="455">
        <f t="shared" si="12"/>
        <v>0</v>
      </c>
      <c r="W42" s="456"/>
    </row>
    <row r="43" spans="1:23" ht="16.5" thickBot="1">
      <c r="A43" s="341">
        <f>'חריגות שכר'!A38</f>
        <v>33</v>
      </c>
      <c r="B43" s="447" t="str">
        <f>'חריגות שכר'!B38</f>
        <v/>
      </c>
      <c r="C43" s="448" t="str">
        <f>'חריגות שכר'!I38</f>
        <v/>
      </c>
      <c r="D43" s="449"/>
      <c r="E43" s="449"/>
      <c r="F43" s="449"/>
      <c r="G43" s="450"/>
      <c r="H43" s="451" t="str">
        <f t="shared" si="13"/>
        <v/>
      </c>
      <c r="I43" s="452" t="str">
        <f t="shared" si="14"/>
        <v/>
      </c>
      <c r="J43" s="451" t="str">
        <f t="shared" si="15"/>
        <v/>
      </c>
      <c r="K43" s="452" t="str">
        <f t="shared" si="16"/>
        <v/>
      </c>
      <c r="L43" s="453" t="str">
        <f t="shared" si="17"/>
        <v/>
      </c>
      <c r="M43" s="452" t="str">
        <f t="shared" si="18"/>
        <v/>
      </c>
      <c r="N43" s="451" t="str">
        <f t="shared" si="19"/>
        <v/>
      </c>
      <c r="O43" s="410" t="str">
        <f t="shared" si="20"/>
        <v/>
      </c>
      <c r="P43" s="454" t="str">
        <f t="shared" si="21"/>
        <v/>
      </c>
      <c r="Q43" s="302" t="str">
        <f t="shared" si="9"/>
        <v/>
      </c>
      <c r="R43" s="466"/>
      <c r="S43" s="455">
        <f t="shared" si="10"/>
        <v>0</v>
      </c>
      <c r="T43" s="455">
        <f t="shared" si="11"/>
        <v>0</v>
      </c>
      <c r="U43" s="455">
        <f t="shared" si="12"/>
        <v>0</v>
      </c>
      <c r="W43" s="456"/>
    </row>
    <row r="44" spans="1:23" ht="16.5" thickBot="1">
      <c r="A44" s="681" t="s">
        <v>26</v>
      </c>
      <c r="B44" s="682"/>
      <c r="C44" s="683">
        <f>SUM(C11:C43)</f>
        <v>0.99999999999999978</v>
      </c>
      <c r="D44" s="457">
        <f>AVERAGE(D11:D43)</f>
        <v>20597374.259259257</v>
      </c>
      <c r="E44" s="457">
        <f>AVERAGE(E11:E43)</f>
        <v>394088.81481481483</v>
      </c>
      <c r="F44" s="457"/>
      <c r="G44" s="457"/>
      <c r="H44" s="457"/>
      <c r="I44" s="457">
        <f>AVERAGE(I11:I43)</f>
        <v>1.8970291481730682E-3</v>
      </c>
      <c r="J44" s="457">
        <f>AVERAGE(J11:J43)</f>
        <v>-2445178.1379310344</v>
      </c>
      <c r="K44" s="457">
        <f>AVERAGE(K11:K43)</f>
        <v>-7.5643070834750095E-2</v>
      </c>
      <c r="L44" s="457"/>
      <c r="M44" s="457">
        <f>SUM(M11:M43)</f>
        <v>1.0153913010169866</v>
      </c>
      <c r="N44" s="457">
        <f>SUM(N11:N43)</f>
        <v>100343014.37997018</v>
      </c>
      <c r="O44" s="458">
        <f>SUM(O11:O43)</f>
        <v>0.99999999999999978</v>
      </c>
      <c r="P44" s="459">
        <f>SUM(P11:P43)</f>
        <v>98822014.99999994</v>
      </c>
      <c r="Q44" s="460"/>
      <c r="R44" s="460"/>
      <c r="U44" s="461"/>
    </row>
  </sheetData>
  <sheetProtection password="CC01" sheet="1" objects="1" scenarios="1" formatColumns="0" formatRows="0"/>
  <mergeCells count="6">
    <mergeCell ref="A44:C44"/>
    <mergeCell ref="B1:D1"/>
    <mergeCell ref="F1:H1"/>
    <mergeCell ref="D3:D4"/>
    <mergeCell ref="H3:H4"/>
    <mergeCell ref="A9:R9"/>
  </mergeCells>
  <conditionalFormatting sqref="J11:J43">
    <cfRule type="containsBlanks" dxfId="58" priority="36">
      <formula>LEN(TRIM(J11))=0</formula>
    </cfRule>
  </conditionalFormatting>
  <conditionalFormatting sqref="A11:B43">
    <cfRule type="containsBlanks" dxfId="57" priority="43">
      <formula>LEN(TRIM(A11))=0</formula>
    </cfRule>
  </conditionalFormatting>
  <conditionalFormatting sqref="L11:L43">
    <cfRule type="containsBlanks" dxfId="56" priority="31">
      <formula>LEN(TRIM(L11))=0</formula>
    </cfRule>
  </conditionalFormatting>
  <conditionalFormatting sqref="E11:G14 E16:G35 G15 E37:G43 G36">
    <cfRule type="expression" dxfId="55" priority="41">
      <formula>AND($C11="",E11&lt;&gt;"")</formula>
    </cfRule>
    <cfRule type="expression" dxfId="54" priority="42">
      <formula>$C11&lt;&gt;""</formula>
    </cfRule>
  </conditionalFormatting>
  <conditionalFormatting sqref="O11:O43">
    <cfRule type="containsBlanks" dxfId="53" priority="40">
      <formula>LEN(TRIM(O11))=0</formula>
    </cfRule>
  </conditionalFormatting>
  <conditionalFormatting sqref="P11:P43">
    <cfRule type="containsBlanks" dxfId="52" priority="39">
      <formula>LEN(TRIM(P11))=0</formula>
    </cfRule>
  </conditionalFormatting>
  <conditionalFormatting sqref="C11:C43">
    <cfRule type="containsBlanks" dxfId="51" priority="38">
      <formula>LEN(TRIM(C11))=0</formula>
    </cfRule>
  </conditionalFormatting>
  <conditionalFormatting sqref="N11:N43">
    <cfRule type="containsBlanks" dxfId="50" priority="35">
      <formula>LEN(TRIM(N11))=0</formula>
    </cfRule>
  </conditionalFormatting>
  <conditionalFormatting sqref="H11:H43">
    <cfRule type="containsBlanks" dxfId="49" priority="37">
      <formula>LEN(TRIM(H11))=0</formula>
    </cfRule>
  </conditionalFormatting>
  <conditionalFormatting sqref="I11:I43">
    <cfRule type="containsBlanks" dxfId="48" priority="34">
      <formula>LEN(TRIM(I11))=0</formula>
    </cfRule>
  </conditionalFormatting>
  <conditionalFormatting sqref="K11:K43">
    <cfRule type="containsBlanks" dxfId="47" priority="33">
      <formula>LEN(TRIM(K11))=0</formula>
    </cfRule>
  </conditionalFormatting>
  <conditionalFormatting sqref="M11:M43">
    <cfRule type="containsBlanks" dxfId="46" priority="32">
      <formula>LEN(TRIM(M11))=0</formula>
    </cfRule>
  </conditionalFormatting>
  <conditionalFormatting sqref="Q11:Q43">
    <cfRule type="cellIs" dxfId="45" priority="28" operator="equal">
      <formula>$X$11</formula>
    </cfRule>
  </conditionalFormatting>
  <conditionalFormatting sqref="C3:C5">
    <cfRule type="containsBlanks" dxfId="44" priority="23">
      <formula>LEN(TRIM(C3))=0</formula>
    </cfRule>
  </conditionalFormatting>
  <conditionalFormatting sqref="B3:B5">
    <cfRule type="containsBlanks" dxfId="43" priority="26">
      <formula>LEN(TRIM(B3))=0</formula>
    </cfRule>
  </conditionalFormatting>
  <conditionalFormatting sqref="H6">
    <cfRule type="containsBlanks" dxfId="42" priority="22">
      <formula>LEN(TRIM(H6))=0</formula>
    </cfRule>
  </conditionalFormatting>
  <conditionalFormatting sqref="H7">
    <cfRule type="containsBlanks" dxfId="41" priority="21">
      <formula>LEN(TRIM(H7))=0</formula>
    </cfRule>
  </conditionalFormatting>
  <conditionalFormatting sqref="E15:F15">
    <cfRule type="expression" dxfId="40" priority="18">
      <formula>AND($C15="",E15&lt;&gt;"")</formula>
    </cfRule>
    <cfRule type="expression" dxfId="39" priority="19">
      <formula>$C15&lt;&gt;""</formula>
    </cfRule>
  </conditionalFormatting>
  <conditionalFormatting sqref="D11:D14 D17:D21 D23:D25 D27:D35 D37:D41">
    <cfRule type="expression" dxfId="38" priority="12">
      <formula>AND($C11="",D11&lt;&gt;"")</formula>
    </cfRule>
    <cfRule type="expression" dxfId="37" priority="13">
      <formula>$C11&lt;&gt;""</formula>
    </cfRule>
  </conditionalFormatting>
  <conditionalFormatting sqref="D15">
    <cfRule type="expression" dxfId="36" priority="10">
      <formula>AND($C15="",D15&lt;&gt;"")</formula>
    </cfRule>
    <cfRule type="expression" dxfId="35" priority="11">
      <formula>$C15&lt;&gt;""</formula>
    </cfRule>
  </conditionalFormatting>
  <conditionalFormatting sqref="D16">
    <cfRule type="expression" dxfId="34" priority="8">
      <formula>AND($C16="",D16&lt;&gt;"")</formula>
    </cfRule>
    <cfRule type="expression" dxfId="33" priority="9">
      <formula>$C16&lt;&gt;""</formula>
    </cfRule>
  </conditionalFormatting>
  <conditionalFormatting sqref="D22">
    <cfRule type="expression" dxfId="32" priority="6">
      <formula>AND($C22="",D22&lt;&gt;"")</formula>
    </cfRule>
    <cfRule type="expression" dxfId="31" priority="7">
      <formula>$C22&lt;&gt;""</formula>
    </cfRule>
  </conditionalFormatting>
  <conditionalFormatting sqref="D26">
    <cfRule type="expression" dxfId="30" priority="4">
      <formula>AND($C26="",D26&lt;&gt;"")</formula>
    </cfRule>
    <cfRule type="expression" dxfId="29" priority="5">
      <formula>$C26&lt;&gt;""</formula>
    </cfRule>
  </conditionalFormatting>
  <conditionalFormatting sqref="D42:D43">
    <cfRule type="expression" dxfId="28" priority="2">
      <formula>AND($C42="",D42&lt;&gt;"")</formula>
    </cfRule>
    <cfRule type="expression" dxfId="27" priority="3">
      <formula>$C42&lt;&gt;""</formula>
    </cfRule>
  </conditionalFormatting>
  <conditionalFormatting sqref="D36:F36">
    <cfRule type="containsBlanks" dxfId="26" priority="1">
      <formula>LEN(TRIM(D36))=0</formula>
    </cfRule>
  </conditionalFormatting>
  <dataValidations count="6">
    <dataValidation type="list" allowBlank="1" showInputMessage="1" showErrorMessage="1" sqref="R11:R43">
      <formula1>$T$10:$U$10</formula1>
    </dataValidation>
    <dataValidation type="decimal" errorStyle="warning" operator="greaterThanOrEqual" allowBlank="1" showInputMessage="1" showErrorMessage="1" errorTitle="טעות בהזנה" error="יש להזין סכום_x000a_סכום חיובי (או אפס) לפי גובה הקיצוץ" sqref="G11:G43">
      <formula1>0</formula1>
    </dataValidation>
    <dataValidation type="decimal" errorStyle="warning" allowBlank="1" showInputMessage="1" showErrorMessage="1" errorTitle="טעות בהזנה" error="יש להזין סכום" sqref="F11:F43">
      <formula1>-99999999999999900</formula1>
      <formula2>999999999999999000</formula2>
    </dataValidation>
    <dataValidation type="decimal" errorStyle="warning" allowBlank="1" showInputMessage="1" showErrorMessage="1" errorTitle="טעות בהזנה" error="יש להזין סכום_x000a_סכום חיובי (או אפס) עבור עודף (או איזון)_x000a_סכום שלילי עבור גרעון" sqref="E11:E43 H11:H43">
      <formula1>-1E+22</formula1>
      <formula2>1E+24</formula2>
    </dataValidation>
    <dataValidation type="decimal" errorStyle="warning" allowBlank="1" showInputMessage="1" showErrorMessage="1" errorTitle="טעות בהזנה" error="יש להזין סכום_x000a_סכום חיובי (או אפס) עבור עודף (או איזון)_x000a_סכום שלילי עבור גרעון" sqref="J11:J43">
      <formula1>-1E+24</formula1>
      <formula2>1E+28</formula2>
    </dataValidation>
    <dataValidation type="decimal" operator="greaterThanOrEqual" allowBlank="1" showInputMessage="1" showErrorMessage="1" errorTitle="טעות בהזנה" error="יש להזין סכום גודל או שווה ל-0" sqref="D11 D15:D16 D22 D26 D42:D43">
      <formula1>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headerFooter>
    <oddFooter>&amp;Lא. חפץ ושות'
יעוץ כלכלי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7" operator="containsText" id="{9A4C3A4F-B263-4E0E-AFA8-4F2736EBCE79}">
            <xm:f>NOT(ISERROR(SEARCH($S$10,Q11)))</xm:f>
            <xm:f>$S$10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Q11:Q43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1"/>
  </sheetPr>
  <dimension ref="A1:V64"/>
  <sheetViews>
    <sheetView rightToLeft="1" view="pageBreakPreview" topLeftCell="B1" zoomScaleNormal="100" zoomScaleSheetLayoutView="100" workbookViewId="0">
      <pane ySplit="30" topLeftCell="A31" activePane="bottomLeft" state="frozen"/>
      <selection activeCell="C20" sqref="C20"/>
      <selection pane="bottomLeft" activeCell="D31" sqref="D31"/>
    </sheetView>
  </sheetViews>
  <sheetFormatPr defaultColWidth="9.140625" defaultRowHeight="15.75"/>
  <cols>
    <col min="1" max="1" width="2.28515625" style="469" hidden="1" customWidth="1"/>
    <col min="2" max="2" width="12" style="469" bestFit="1" customWidth="1"/>
    <col min="3" max="3" width="25.28515625" style="469" bestFit="1" customWidth="1"/>
    <col min="4" max="4" width="22.42578125" style="469" customWidth="1"/>
    <col min="5" max="5" width="19.140625" style="469" customWidth="1"/>
    <col min="6" max="6" width="16.28515625" style="469" hidden="1" customWidth="1"/>
    <col min="7" max="7" width="16.28515625" style="469" customWidth="1"/>
    <col min="8" max="9" width="16.28515625" style="469" hidden="1" customWidth="1"/>
    <col min="10" max="10" width="21.85546875" style="469" hidden="1" customWidth="1"/>
    <col min="11" max="12" width="23" style="469" hidden="1" customWidth="1"/>
    <col min="13" max="13" width="15.140625" style="469" customWidth="1"/>
    <col min="14" max="14" width="16.5703125" style="469" customWidth="1"/>
    <col min="15" max="15" width="9.140625" style="469"/>
    <col min="16" max="16" width="9.140625" style="469" hidden="1" customWidth="1"/>
    <col min="17" max="17" width="12.42578125" style="469" hidden="1" customWidth="1"/>
    <col min="18" max="18" width="9.140625" style="469" hidden="1" customWidth="1"/>
    <col min="19" max="22" width="10.28515625" style="469" hidden="1" customWidth="1"/>
    <col min="23" max="23" width="10.28515625" style="469" customWidth="1"/>
    <col min="24" max="16384" width="9.140625" style="469"/>
  </cols>
  <sheetData>
    <row r="1" spans="2:20" ht="15.75" customHeight="1" thickBot="1">
      <c r="B1" s="407" t="str">
        <f>פרמטרים!B1</f>
        <v>שנת התקציב</v>
      </c>
      <c r="C1" s="408">
        <f>פרמטרים!D1</f>
        <v>2018</v>
      </c>
      <c r="P1" s="469" t="s">
        <v>304</v>
      </c>
      <c r="Q1" s="470">
        <f>C2</f>
        <v>98822015</v>
      </c>
      <c r="S1" s="469" t="s">
        <v>305</v>
      </c>
      <c r="T1" s="469" t="s">
        <v>306</v>
      </c>
    </row>
    <row r="2" spans="2:20" ht="16.5" customHeight="1" thickBot="1">
      <c r="B2" s="407" t="str">
        <f>פרמטרים!B2</f>
        <v>תקציב</v>
      </c>
      <c r="C2" s="471">
        <f>פרמטרים!D2</f>
        <v>98822015</v>
      </c>
      <c r="P2" s="469" t="s">
        <v>274</v>
      </c>
      <c r="Q2" s="472">
        <f>SUM(E31:E63)</f>
        <v>96733016.00000003</v>
      </c>
    </row>
    <row r="3" spans="2:20">
      <c r="J3" s="473" t="s">
        <v>307</v>
      </c>
      <c r="K3" s="474">
        <f>I64</f>
        <v>0</v>
      </c>
      <c r="L3" s="472"/>
      <c r="P3" s="469" t="s">
        <v>308</v>
      </c>
      <c r="Q3" s="469">
        <f>IF(Q2&lt;=Q1,1,0)</f>
        <v>1</v>
      </c>
    </row>
    <row r="4" spans="2:20" hidden="1">
      <c r="J4" s="475"/>
      <c r="K4" s="476"/>
    </row>
    <row r="5" spans="2:20" s="477" customFormat="1" ht="31.5" hidden="1" customHeight="1">
      <c r="J5" s="478"/>
      <c r="K5" s="479"/>
    </row>
    <row r="6" spans="2:20" s="477" customFormat="1" ht="60" customHeight="1">
      <c r="C6" s="698" t="s">
        <v>309</v>
      </c>
      <c r="D6" s="699"/>
      <c r="E6" s="480">
        <f>פרמטרים!B67</f>
        <v>0</v>
      </c>
      <c r="H6" s="481"/>
      <c r="J6" s="482" t="s">
        <v>310</v>
      </c>
      <c r="K6" s="483">
        <f>MIN(C2-K3,J64)</f>
        <v>98822014.99999994</v>
      </c>
      <c r="L6" s="484"/>
      <c r="M6" s="526"/>
    </row>
    <row r="7" spans="2:20" s="477" customFormat="1" ht="16.5" thickBot="1">
      <c r="J7" s="485" t="s">
        <v>311</v>
      </c>
      <c r="K7" s="486">
        <f>C2-K6-K3</f>
        <v>5.9604644775390625E-8</v>
      </c>
      <c r="L7" s="484"/>
    </row>
    <row r="8" spans="2:20" s="477" customFormat="1" hidden="1"/>
    <row r="9" spans="2:20" s="477" customFormat="1" hidden="1"/>
    <row r="10" spans="2:20" s="477" customFormat="1" hidden="1"/>
    <row r="11" spans="2:20" s="477" customFormat="1" hidden="1"/>
    <row r="12" spans="2:20" s="477" customFormat="1" hidden="1"/>
    <row r="13" spans="2:20" s="477" customFormat="1" hidden="1"/>
    <row r="14" spans="2:20" s="477" customFormat="1" hidden="1"/>
    <row r="15" spans="2:20" s="477" customFormat="1" hidden="1"/>
    <row r="16" spans="2:20" s="477" customFormat="1" hidden="1"/>
    <row r="17" spans="2:22" s="477" customFormat="1" hidden="1"/>
    <row r="18" spans="2:22" s="477" customFormat="1" hidden="1"/>
    <row r="19" spans="2:22" s="477" customFormat="1" hidden="1"/>
    <row r="20" spans="2:22" s="477" customFormat="1" hidden="1"/>
    <row r="21" spans="2:22" s="477" customFormat="1" hidden="1"/>
    <row r="22" spans="2:22" s="477" customFormat="1" hidden="1"/>
    <row r="23" spans="2:22" s="477" customFormat="1" hidden="1"/>
    <row r="24" spans="2:22" s="477" customFormat="1" hidden="1"/>
    <row r="25" spans="2:22" s="477" customFormat="1" hidden="1"/>
    <row r="26" spans="2:22" s="477" customFormat="1" hidden="1"/>
    <row r="27" spans="2:22" s="477" customFormat="1" ht="16.5" thickBot="1">
      <c r="V27" s="477" t="s">
        <v>312</v>
      </c>
    </row>
    <row r="28" spans="2:22" s="477" customFormat="1" ht="19.5" thickBot="1">
      <c r="B28" s="700" t="str">
        <f ca="1">MID(CELL("filename",B27),FIND("]",CELL("filename",C27),1)+1,99)</f>
        <v>הגנה (2)</v>
      </c>
      <c r="C28" s="701"/>
      <c r="D28" s="701"/>
      <c r="E28" s="701"/>
      <c r="F28" s="701"/>
      <c r="G28" s="701"/>
      <c r="H28" s="701"/>
      <c r="I28" s="701"/>
      <c r="J28" s="701"/>
      <c r="K28" s="701"/>
      <c r="L28" s="701"/>
      <c r="M28" s="701"/>
      <c r="N28" s="702"/>
      <c r="V28" s="477">
        <f>IF(SUM(V31:V63)=COUNT(V31:V63),1,0)</f>
        <v>1</v>
      </c>
    </row>
    <row r="29" spans="2:22" s="477" customFormat="1" ht="15.75" customHeight="1">
      <c r="B29" s="703" t="s">
        <v>23</v>
      </c>
      <c r="C29" s="705" t="s">
        <v>270</v>
      </c>
      <c r="D29" s="707" t="s">
        <v>313</v>
      </c>
      <c r="E29" s="707" t="s">
        <v>307</v>
      </c>
      <c r="F29" s="487" t="s">
        <v>314</v>
      </c>
      <c r="G29" s="709" t="s">
        <v>315</v>
      </c>
      <c r="H29" s="709" t="s">
        <v>271</v>
      </c>
      <c r="I29" s="709" t="s">
        <v>316</v>
      </c>
      <c r="J29" s="711" t="s">
        <v>317</v>
      </c>
      <c r="K29" s="711" t="s">
        <v>318</v>
      </c>
      <c r="L29" s="711" t="s">
        <v>319</v>
      </c>
      <c r="M29" s="707" t="s">
        <v>282</v>
      </c>
      <c r="N29" s="713" t="s">
        <v>272</v>
      </c>
    </row>
    <row r="30" spans="2:22" s="477" customFormat="1" ht="16.5" thickBot="1">
      <c r="B30" s="704"/>
      <c r="C30" s="706"/>
      <c r="D30" s="708"/>
      <c r="E30" s="708"/>
      <c r="F30" s="488" t="s">
        <v>320</v>
      </c>
      <c r="G30" s="710"/>
      <c r="H30" s="710"/>
      <c r="I30" s="710"/>
      <c r="J30" s="712"/>
      <c r="K30" s="712"/>
      <c r="L30" s="712"/>
      <c r="M30" s="708"/>
      <c r="N30" s="714"/>
      <c r="S30" s="455">
        <v>0</v>
      </c>
      <c r="T30" s="455">
        <v>1</v>
      </c>
      <c r="V30" s="477" t="s">
        <v>321</v>
      </c>
    </row>
    <row r="31" spans="2:22" s="477" customFormat="1">
      <c r="B31" s="489">
        <f>גירעון!A11</f>
        <v>1</v>
      </c>
      <c r="C31" s="490" t="str">
        <f>גירעון!B11</f>
        <v>הבימה</v>
      </c>
      <c r="D31" s="491">
        <f>גירעון!P11</f>
        <v>17180456.740531299</v>
      </c>
      <c r="E31" s="492">
        <f>IF(C31="","",ייצוב!D5)</f>
        <v>16884479.543164562</v>
      </c>
      <c r="F31" s="493">
        <v>1</v>
      </c>
      <c r="G31" s="494">
        <f>IF($C31="","",IF(OR(C31="",D31="",E31="",V31&lt;&gt;1),$T$1,IF($D31&lt;$E31*$E$6,1,0)))</f>
        <v>0</v>
      </c>
      <c r="H31" s="495">
        <f t="shared" ref="H31" si="0">IF($C31="","",IF(G31+$F31=2,1,0))</f>
        <v>0</v>
      </c>
      <c r="I31" s="496">
        <f>IF($C31="","",$E31*$E$6)</f>
        <v>0</v>
      </c>
      <c r="J31" s="496">
        <f>IF(C31="","",MAX(0,D31-I31))</f>
        <v>17180456.740531299</v>
      </c>
      <c r="K31" s="496">
        <f>IF(C31="","",IF(AND($K$6&gt;0,J31&gt;0),((J31/$J$64)*$K$6)+I31,I31))</f>
        <v>17180456.740531299</v>
      </c>
      <c r="L31" s="496">
        <f>IF(C31="","",IF($K$7&gt;0,(K31/$K$64*$K$7)+K31,K31))</f>
        <v>17180456.74053131</v>
      </c>
      <c r="M31" s="410">
        <f>IF(C31="","",IF(OR($Q$3&lt;&gt;1,$V$28&lt;&gt;1),$T$1,IFERROR(L31/$L$64,$T$1)))</f>
        <v>0.17385252406087154</v>
      </c>
      <c r="N31" s="497">
        <f>IF(C31="","",IF(OR($Q$3&lt;&gt;1,$V$28&lt;&gt;1),$T$1,IFERROR(M31*$C$2,$T$1)))</f>
        <v>17180456.740531307</v>
      </c>
      <c r="S31" s="455">
        <f>IF($C31="","",S$30)</f>
        <v>0</v>
      </c>
      <c r="T31" s="455">
        <f>IF($C31="","",T$30)</f>
        <v>1</v>
      </c>
      <c r="V31" s="477">
        <f t="shared" ref="V31" si="1">IF(F31="",0,IF(ISERROR(MATCH(F31,$S$30:$T$30,0)),0,1))</f>
        <v>1</v>
      </c>
    </row>
    <row r="32" spans="2:22" s="477" customFormat="1">
      <c r="B32" s="489">
        <f>גירעון!A12</f>
        <v>2</v>
      </c>
      <c r="C32" s="490" t="str">
        <f>גירעון!B12</f>
        <v>הקאמרי</v>
      </c>
      <c r="D32" s="491">
        <f>גירעון!P12</f>
        <v>11114090.241928192</v>
      </c>
      <c r="E32" s="492">
        <f>IF(C32="","",ייצוב!D6)</f>
        <v>11272322.727075975</v>
      </c>
      <c r="F32" s="493">
        <v>1</v>
      </c>
      <c r="G32" s="494">
        <f t="shared" ref="G32:G62" si="2">IF($C32="","",IF(OR(C32="",D32="",E32="",V32&lt;&gt;1),$T$1,IF($D32&lt;$E32*$E$6,1,0)))</f>
        <v>0</v>
      </c>
      <c r="H32" s="495">
        <f t="shared" ref="H32:H63" si="3">IF($C32="","",IF(G32+$F32=2,1,0))</f>
        <v>0</v>
      </c>
      <c r="I32" s="496">
        <f t="shared" ref="I32:I62" si="4">IF($C32="","",$E32*$E$6)</f>
        <v>0</v>
      </c>
      <c r="J32" s="496">
        <f t="shared" ref="J32:J62" si="5">IF(C32="","",MAX(0,D32-I32))</f>
        <v>11114090.241928192</v>
      </c>
      <c r="K32" s="496">
        <f t="shared" ref="K32:K62" si="6">IF(C32="","",IF(AND($K$6&gt;0,J32&gt;0),((J32/$J$64)*$K$6)+I32,I32))</f>
        <v>11114090.241928192</v>
      </c>
      <c r="L32" s="496">
        <f t="shared" ref="L32:L62" si="7">IF(C32="","",IF($K$7&gt;0,(K32/$K$64*$K$7)+K32,K32))</f>
        <v>11114090.241928199</v>
      </c>
      <c r="M32" s="410">
        <f t="shared" ref="M32:M62" si="8">IF(C32="","",IF(OR($Q$3&lt;&gt;1,$V$28&lt;&gt;1),$T$1,IFERROR(L32/$L$64,$T$1)))</f>
        <v>0.11246573187086094</v>
      </c>
      <c r="N32" s="497">
        <f t="shared" ref="N32:N62" si="9">IF(C32="","",IF(OR($Q$3&lt;&gt;1,$V$28&lt;&gt;1),$T$1,IFERROR(M32*$C$2,$T$1)))</f>
        <v>11114090.241928197</v>
      </c>
      <c r="S32" s="455">
        <f t="shared" ref="S32:T63" si="10">IF($C32="","",S$30)</f>
        <v>0</v>
      </c>
      <c r="T32" s="455">
        <f t="shared" si="10"/>
        <v>1</v>
      </c>
      <c r="V32" s="477">
        <f t="shared" ref="V32:V63" si="11">IF(F32="",0,IF(ISERROR(MATCH(F32,$S$30:$T$30,0)),0,1))</f>
        <v>1</v>
      </c>
    </row>
    <row r="33" spans="2:22" s="477" customFormat="1">
      <c r="B33" s="489">
        <f>גירעון!A13</f>
        <v>3</v>
      </c>
      <c r="C33" s="490" t="str">
        <f>גירעון!B13</f>
        <v>בית לסין</v>
      </c>
      <c r="D33" s="491">
        <f>גירעון!P13</f>
        <v>8783045.4030252919</v>
      </c>
      <c r="E33" s="492">
        <f>IF(C33="","",ייצוב!D7)</f>
        <v>9092660.215172112</v>
      </c>
      <c r="F33" s="493">
        <v>1</v>
      </c>
      <c r="G33" s="494">
        <f t="shared" si="2"/>
        <v>0</v>
      </c>
      <c r="H33" s="495">
        <f t="shared" si="3"/>
        <v>0</v>
      </c>
      <c r="I33" s="496">
        <f t="shared" si="4"/>
        <v>0</v>
      </c>
      <c r="J33" s="496">
        <f t="shared" si="5"/>
        <v>8783045.4030252919</v>
      </c>
      <c r="K33" s="496">
        <f t="shared" si="6"/>
        <v>8783045.4030252919</v>
      </c>
      <c r="L33" s="496">
        <f t="shared" si="7"/>
        <v>8783045.4030252974</v>
      </c>
      <c r="M33" s="410">
        <f t="shared" si="8"/>
        <v>8.887741666697746E-2</v>
      </c>
      <c r="N33" s="497">
        <f t="shared" si="9"/>
        <v>8783045.4030252974</v>
      </c>
      <c r="S33" s="455">
        <f t="shared" si="10"/>
        <v>0</v>
      </c>
      <c r="T33" s="455">
        <f t="shared" si="10"/>
        <v>1</v>
      </c>
      <c r="V33" s="477">
        <f t="shared" si="11"/>
        <v>1</v>
      </c>
    </row>
    <row r="34" spans="2:22" s="477" customFormat="1">
      <c r="B34" s="489">
        <f>גירעון!A14</f>
        <v>4</v>
      </c>
      <c r="C34" s="490" t="str">
        <f>גירעון!B14</f>
        <v>חיפה</v>
      </c>
      <c r="D34" s="491">
        <f>גירעון!P14</f>
        <v>5868687.3637262434</v>
      </c>
      <c r="E34" s="492">
        <f>IF(C34="","",ייצוב!D8)</f>
        <v>5523829.7419604603</v>
      </c>
      <c r="F34" s="493">
        <v>1</v>
      </c>
      <c r="G34" s="494">
        <f t="shared" si="2"/>
        <v>0</v>
      </c>
      <c r="H34" s="495">
        <f t="shared" si="3"/>
        <v>0</v>
      </c>
      <c r="I34" s="496">
        <f t="shared" si="4"/>
        <v>0</v>
      </c>
      <c r="J34" s="496">
        <f t="shared" si="5"/>
        <v>5868687.3637262434</v>
      </c>
      <c r="K34" s="496">
        <f t="shared" si="6"/>
        <v>5868687.3637262434</v>
      </c>
      <c r="L34" s="496">
        <f t="shared" si="7"/>
        <v>5868687.3637262471</v>
      </c>
      <c r="M34" s="410">
        <f t="shared" si="8"/>
        <v>5.9386436956646214E-2</v>
      </c>
      <c r="N34" s="497">
        <f t="shared" si="9"/>
        <v>5868687.3637262462</v>
      </c>
      <c r="S34" s="455">
        <f t="shared" si="10"/>
        <v>0</v>
      </c>
      <c r="T34" s="455">
        <f t="shared" si="10"/>
        <v>1</v>
      </c>
      <c r="V34" s="477">
        <f t="shared" si="11"/>
        <v>1</v>
      </c>
    </row>
    <row r="35" spans="2:22" s="477" customFormat="1">
      <c r="B35" s="489">
        <f>גירעון!A15</f>
        <v>5</v>
      </c>
      <c r="C35" s="490" t="str">
        <f>גירעון!B15</f>
        <v>באר שבע</v>
      </c>
      <c r="D35" s="491">
        <f>גירעון!P15</f>
        <v>7395749.0606265916</v>
      </c>
      <c r="E35" s="492">
        <f>IF(C35="","",ייצוב!D9)</f>
        <v>7357166.085402376</v>
      </c>
      <c r="F35" s="493">
        <v>1</v>
      </c>
      <c r="G35" s="494">
        <f t="shared" si="2"/>
        <v>0</v>
      </c>
      <c r="H35" s="495">
        <f t="shared" si="3"/>
        <v>0</v>
      </c>
      <c r="I35" s="496">
        <f t="shared" si="4"/>
        <v>0</v>
      </c>
      <c r="J35" s="496">
        <f t="shared" si="5"/>
        <v>7395749.0606265916</v>
      </c>
      <c r="K35" s="496">
        <f t="shared" si="6"/>
        <v>7395749.0606265916</v>
      </c>
      <c r="L35" s="496">
        <f t="shared" si="7"/>
        <v>7395749.0606265962</v>
      </c>
      <c r="M35" s="410">
        <f t="shared" si="8"/>
        <v>7.4839083787419186E-2</v>
      </c>
      <c r="N35" s="497">
        <f t="shared" si="9"/>
        <v>7395749.0606265953</v>
      </c>
      <c r="S35" s="455">
        <f t="shared" si="10"/>
        <v>0</v>
      </c>
      <c r="T35" s="455">
        <f t="shared" si="10"/>
        <v>1</v>
      </c>
      <c r="V35" s="477">
        <f t="shared" si="11"/>
        <v>1</v>
      </c>
    </row>
    <row r="36" spans="2:22" s="477" customFormat="1">
      <c r="B36" s="489">
        <f>גירעון!A16</f>
        <v>6</v>
      </c>
      <c r="C36" s="490" t="str">
        <f>גירעון!B16</f>
        <v>גשר</v>
      </c>
      <c r="D36" s="491">
        <f>גירעון!P16</f>
        <v>5928213.7144373925</v>
      </c>
      <c r="E36" s="492">
        <f>IF(C36="","",ייצוב!D10)</f>
        <v>5492520.290235661</v>
      </c>
      <c r="F36" s="493">
        <v>1</v>
      </c>
      <c r="G36" s="494">
        <f t="shared" si="2"/>
        <v>0</v>
      </c>
      <c r="H36" s="495">
        <f t="shared" si="3"/>
        <v>0</v>
      </c>
      <c r="I36" s="496">
        <f t="shared" si="4"/>
        <v>0</v>
      </c>
      <c r="J36" s="496">
        <f t="shared" si="5"/>
        <v>5928213.7144373925</v>
      </c>
      <c r="K36" s="496">
        <f t="shared" si="6"/>
        <v>5928213.7144373925</v>
      </c>
      <c r="L36" s="496">
        <f t="shared" si="7"/>
        <v>5928213.7144373963</v>
      </c>
      <c r="M36" s="410">
        <f t="shared" si="8"/>
        <v>5.9988796164876776E-2</v>
      </c>
      <c r="N36" s="497">
        <f t="shared" si="9"/>
        <v>5928213.7144373953</v>
      </c>
      <c r="S36" s="455">
        <f t="shared" si="10"/>
        <v>0</v>
      </c>
      <c r="T36" s="455">
        <f t="shared" si="10"/>
        <v>1</v>
      </c>
      <c r="V36" s="477">
        <f t="shared" si="11"/>
        <v>1</v>
      </c>
    </row>
    <row r="37" spans="2:22" s="477" customFormat="1">
      <c r="B37" s="489">
        <f>גירעון!A17</f>
        <v>7</v>
      </c>
      <c r="C37" s="490" t="str">
        <f>גירעון!B17</f>
        <v>החאן</v>
      </c>
      <c r="D37" s="491">
        <f>גירעון!P17</f>
        <v>7309889.3723283233</v>
      </c>
      <c r="E37" s="492">
        <f>IF(C37="","",ייצוב!D11)</f>
        <v>7070262.0153425876</v>
      </c>
      <c r="F37" s="493">
        <v>1</v>
      </c>
      <c r="G37" s="494">
        <f t="shared" si="2"/>
        <v>0</v>
      </c>
      <c r="H37" s="495">
        <f t="shared" si="3"/>
        <v>0</v>
      </c>
      <c r="I37" s="496">
        <f t="shared" si="4"/>
        <v>0</v>
      </c>
      <c r="J37" s="496">
        <f t="shared" si="5"/>
        <v>7309889.3723283233</v>
      </c>
      <c r="K37" s="496">
        <f t="shared" si="6"/>
        <v>7309889.3723283233</v>
      </c>
      <c r="L37" s="496">
        <f t="shared" si="7"/>
        <v>7309889.372328328</v>
      </c>
      <c r="M37" s="410">
        <f t="shared" si="8"/>
        <v>7.3970252198645489E-2</v>
      </c>
      <c r="N37" s="497">
        <f t="shared" si="9"/>
        <v>7309889.372328328</v>
      </c>
      <c r="S37" s="455">
        <f t="shared" si="10"/>
        <v>0</v>
      </c>
      <c r="T37" s="455">
        <f t="shared" si="10"/>
        <v>1</v>
      </c>
      <c r="V37" s="477">
        <f t="shared" si="11"/>
        <v>1</v>
      </c>
    </row>
    <row r="38" spans="2:22" s="477" customFormat="1">
      <c r="B38" s="489">
        <f>גירעון!A18</f>
        <v>8</v>
      </c>
      <c r="C38" s="490" t="str">
        <f>גירעון!B18</f>
        <v>היידישפיל</v>
      </c>
      <c r="D38" s="491">
        <f>גירעון!P18</f>
        <v>5202346.5907751992</v>
      </c>
      <c r="E38" s="492">
        <f>IF(C38="","",ייצוב!D12)</f>
        <v>5155776.7796721673</v>
      </c>
      <c r="F38" s="493">
        <v>1</v>
      </c>
      <c r="G38" s="494">
        <f t="shared" si="2"/>
        <v>0</v>
      </c>
      <c r="H38" s="495">
        <f t="shared" si="3"/>
        <v>0</v>
      </c>
      <c r="I38" s="496">
        <f t="shared" si="4"/>
        <v>0</v>
      </c>
      <c r="J38" s="496">
        <f t="shared" si="5"/>
        <v>5202346.5907751992</v>
      </c>
      <c r="K38" s="496">
        <f t="shared" si="6"/>
        <v>5202346.5907751992</v>
      </c>
      <c r="L38" s="496">
        <f t="shared" si="7"/>
        <v>5202346.590775202</v>
      </c>
      <c r="M38" s="410">
        <f t="shared" si="8"/>
        <v>5.2643599614672916E-2</v>
      </c>
      <c r="N38" s="497">
        <f t="shared" si="9"/>
        <v>5202346.5907752011</v>
      </c>
      <c r="S38" s="455">
        <f t="shared" si="10"/>
        <v>0</v>
      </c>
      <c r="T38" s="455">
        <f t="shared" si="10"/>
        <v>1</v>
      </c>
      <c r="V38" s="477">
        <f t="shared" si="11"/>
        <v>1</v>
      </c>
    </row>
    <row r="39" spans="2:22">
      <c r="B39" s="489">
        <f>גירעון!A19</f>
        <v>9</v>
      </c>
      <c r="C39" s="490" t="str">
        <f>גירעון!B19</f>
        <v>תיאטרון אלמידאן</v>
      </c>
      <c r="D39" s="491">
        <f>גירעון!P19</f>
        <v>0</v>
      </c>
      <c r="E39" s="492">
        <f>IF(C39="","",ייצוב!D13)</f>
        <v>861664.39563074871</v>
      </c>
      <c r="F39" s="493">
        <v>1</v>
      </c>
      <c r="G39" s="494">
        <f t="shared" si="2"/>
        <v>0</v>
      </c>
      <c r="H39" s="495">
        <f t="shared" si="3"/>
        <v>0</v>
      </c>
      <c r="I39" s="496">
        <f t="shared" si="4"/>
        <v>0</v>
      </c>
      <c r="J39" s="496">
        <f t="shared" si="5"/>
        <v>0</v>
      </c>
      <c r="K39" s="496">
        <f t="shared" si="6"/>
        <v>0</v>
      </c>
      <c r="L39" s="496">
        <f t="shared" si="7"/>
        <v>0</v>
      </c>
      <c r="M39" s="410">
        <f t="shared" si="8"/>
        <v>0</v>
      </c>
      <c r="N39" s="497">
        <f t="shared" si="9"/>
        <v>0</v>
      </c>
      <c r="O39" s="477"/>
      <c r="S39" s="455">
        <f t="shared" si="10"/>
        <v>0</v>
      </c>
      <c r="T39" s="455">
        <f t="shared" si="10"/>
        <v>1</v>
      </c>
      <c r="U39" s="477"/>
      <c r="V39" s="477">
        <f t="shared" si="11"/>
        <v>1</v>
      </c>
    </row>
    <row r="40" spans="2:22">
      <c r="B40" s="489">
        <f>גירעון!A20</f>
        <v>10</v>
      </c>
      <c r="C40" s="490" t="str">
        <f>גירעון!B20</f>
        <v>הזירה הבין תחומית</v>
      </c>
      <c r="D40" s="491">
        <f>גירעון!P20</f>
        <v>827186.92189531063</v>
      </c>
      <c r="E40" s="492">
        <f>IF(C40="","",ייצוב!D14)</f>
        <v>836872.52524402074</v>
      </c>
      <c r="F40" s="493">
        <v>1</v>
      </c>
      <c r="G40" s="494">
        <f t="shared" si="2"/>
        <v>0</v>
      </c>
      <c r="H40" s="495">
        <f t="shared" si="3"/>
        <v>0</v>
      </c>
      <c r="I40" s="496">
        <f t="shared" si="4"/>
        <v>0</v>
      </c>
      <c r="J40" s="496">
        <f t="shared" si="5"/>
        <v>827186.92189531063</v>
      </c>
      <c r="K40" s="496">
        <f t="shared" si="6"/>
        <v>827186.92189531063</v>
      </c>
      <c r="L40" s="496">
        <f t="shared" si="7"/>
        <v>827186.9218953111</v>
      </c>
      <c r="M40" s="410">
        <f t="shared" si="8"/>
        <v>8.3704721250149675E-3</v>
      </c>
      <c r="N40" s="497">
        <f t="shared" si="9"/>
        <v>827186.92189531098</v>
      </c>
      <c r="O40" s="477"/>
      <c r="S40" s="455">
        <f t="shared" si="10"/>
        <v>0</v>
      </c>
      <c r="T40" s="455">
        <f t="shared" si="10"/>
        <v>1</v>
      </c>
      <c r="U40" s="477"/>
      <c r="V40" s="477">
        <f t="shared" si="11"/>
        <v>1</v>
      </c>
    </row>
    <row r="41" spans="2:22">
      <c r="B41" s="489">
        <f>גירעון!A21</f>
        <v>11</v>
      </c>
      <c r="C41" s="490" t="str">
        <f>גירעון!B21</f>
        <v>אספקלריא</v>
      </c>
      <c r="D41" s="491">
        <f>גירעון!P21</f>
        <v>1547782.352445401</v>
      </c>
      <c r="E41" s="492">
        <f>IF(C41="","",ייצוב!D15)</f>
        <v>1405241.6027017485</v>
      </c>
      <c r="F41" s="493">
        <v>1</v>
      </c>
      <c r="G41" s="494">
        <f t="shared" si="2"/>
        <v>0</v>
      </c>
      <c r="H41" s="495">
        <f t="shared" si="3"/>
        <v>0</v>
      </c>
      <c r="I41" s="496">
        <f t="shared" si="4"/>
        <v>0</v>
      </c>
      <c r="J41" s="496">
        <f t="shared" si="5"/>
        <v>1547782.352445401</v>
      </c>
      <c r="K41" s="496">
        <f t="shared" si="6"/>
        <v>1547782.352445401</v>
      </c>
      <c r="L41" s="496">
        <f t="shared" si="7"/>
        <v>1547782.3524454019</v>
      </c>
      <c r="M41" s="410">
        <f t="shared" si="8"/>
        <v>1.5662323344099002E-2</v>
      </c>
      <c r="N41" s="497">
        <f t="shared" si="9"/>
        <v>1547782.3524454017</v>
      </c>
      <c r="O41" s="477"/>
      <c r="S41" s="455">
        <f t="shared" si="10"/>
        <v>0</v>
      </c>
      <c r="T41" s="455">
        <f t="shared" si="10"/>
        <v>1</v>
      </c>
      <c r="U41" s="477"/>
      <c r="V41" s="477">
        <f t="shared" si="11"/>
        <v>1</v>
      </c>
    </row>
    <row r="42" spans="2:22">
      <c r="B42" s="489">
        <f>גירעון!A22</f>
        <v>12</v>
      </c>
      <c r="C42" s="490" t="str">
        <f>גירעון!B22</f>
        <v/>
      </c>
      <c r="D42" s="491" t="str">
        <f>גירעון!P22</f>
        <v/>
      </c>
      <c r="E42" s="492" t="str">
        <f>IF(C42="","",ייצוב!D16)</f>
        <v/>
      </c>
      <c r="F42" s="493">
        <v>1</v>
      </c>
      <c r="G42" s="494" t="str">
        <f t="shared" si="2"/>
        <v/>
      </c>
      <c r="H42" s="495" t="str">
        <f t="shared" si="3"/>
        <v/>
      </c>
      <c r="I42" s="496" t="str">
        <f t="shared" si="4"/>
        <v/>
      </c>
      <c r="J42" s="496" t="str">
        <f t="shared" si="5"/>
        <v/>
      </c>
      <c r="K42" s="496" t="str">
        <f t="shared" si="6"/>
        <v/>
      </c>
      <c r="L42" s="496" t="str">
        <f t="shared" si="7"/>
        <v/>
      </c>
      <c r="M42" s="410" t="str">
        <f t="shared" si="8"/>
        <v/>
      </c>
      <c r="N42" s="497" t="str">
        <f t="shared" si="9"/>
        <v/>
      </c>
      <c r="O42" s="477"/>
      <c r="S42" s="455" t="str">
        <f t="shared" si="10"/>
        <v/>
      </c>
      <c r="T42" s="455" t="str">
        <f t="shared" si="10"/>
        <v/>
      </c>
      <c r="U42" s="477"/>
      <c r="V42" s="477">
        <f t="shared" si="11"/>
        <v>1</v>
      </c>
    </row>
    <row r="43" spans="2:22">
      <c r="B43" s="489">
        <f>גירעון!A23</f>
        <v>13</v>
      </c>
      <c r="C43" s="490" t="str">
        <f>גירעון!B23</f>
        <v>עכו</v>
      </c>
      <c r="D43" s="491">
        <f>גירעון!P23</f>
        <v>1438912.8742744653</v>
      </c>
      <c r="E43" s="492">
        <f>IF(C43="","",ייצוב!D17)</f>
        <v>1369419.8083819037</v>
      </c>
      <c r="F43" s="493">
        <v>1</v>
      </c>
      <c r="G43" s="494">
        <f t="shared" si="2"/>
        <v>0</v>
      </c>
      <c r="H43" s="495">
        <f t="shared" si="3"/>
        <v>0</v>
      </c>
      <c r="I43" s="496">
        <f t="shared" si="4"/>
        <v>0</v>
      </c>
      <c r="J43" s="496">
        <f t="shared" si="5"/>
        <v>1438912.8742744653</v>
      </c>
      <c r="K43" s="496">
        <f t="shared" si="6"/>
        <v>1438912.8742744653</v>
      </c>
      <c r="L43" s="496">
        <f t="shared" si="7"/>
        <v>1438912.8742744662</v>
      </c>
      <c r="M43" s="410">
        <f t="shared" si="8"/>
        <v>1.4560651027753948E-2</v>
      </c>
      <c r="N43" s="497">
        <f t="shared" si="9"/>
        <v>1438912.874274466</v>
      </c>
      <c r="O43" s="477"/>
      <c r="S43" s="455">
        <f t="shared" si="10"/>
        <v>0</v>
      </c>
      <c r="T43" s="455">
        <f t="shared" si="10"/>
        <v>1</v>
      </c>
      <c r="U43" s="477"/>
      <c r="V43" s="477">
        <f t="shared" si="11"/>
        <v>1</v>
      </c>
    </row>
    <row r="44" spans="2:22">
      <c r="B44" s="489">
        <f>גירעון!A24</f>
        <v>14</v>
      </c>
      <c r="C44" s="490" t="str">
        <f>גירעון!B24</f>
        <v>הספרייה</v>
      </c>
      <c r="D44" s="491">
        <f>גירעון!P24</f>
        <v>849104.45044166956</v>
      </c>
      <c r="E44" s="492">
        <f>IF(C44="","",ייצוב!D18)</f>
        <v>796540.22340308921</v>
      </c>
      <c r="F44" s="493">
        <v>1</v>
      </c>
      <c r="G44" s="494">
        <f t="shared" si="2"/>
        <v>0</v>
      </c>
      <c r="H44" s="495">
        <f t="shared" si="3"/>
        <v>0</v>
      </c>
      <c r="I44" s="496">
        <f t="shared" si="4"/>
        <v>0</v>
      </c>
      <c r="J44" s="496">
        <f t="shared" si="5"/>
        <v>849104.45044166956</v>
      </c>
      <c r="K44" s="496">
        <f t="shared" si="6"/>
        <v>849104.45044166967</v>
      </c>
      <c r="L44" s="496">
        <f t="shared" si="7"/>
        <v>849104.45044167014</v>
      </c>
      <c r="M44" s="410">
        <f t="shared" si="8"/>
        <v>8.5922600388351721E-3</v>
      </c>
      <c r="N44" s="497">
        <f t="shared" si="9"/>
        <v>849104.45044166991</v>
      </c>
      <c r="O44" s="477"/>
      <c r="S44" s="455">
        <f t="shared" si="10"/>
        <v>0</v>
      </c>
      <c r="T44" s="455">
        <f t="shared" si="10"/>
        <v>1</v>
      </c>
      <c r="U44" s="477"/>
      <c r="V44" s="477">
        <f t="shared" si="11"/>
        <v>1</v>
      </c>
    </row>
    <row r="45" spans="2:22">
      <c r="B45" s="489">
        <f>גירעון!A25</f>
        <v>15</v>
      </c>
      <c r="C45" s="490" t="str">
        <f>גירעון!B25</f>
        <v>יפו</v>
      </c>
      <c r="D45" s="491">
        <f>גירעון!P25</f>
        <v>871200.03744845593</v>
      </c>
      <c r="E45" s="492">
        <f>IF(C45="","",ייצוב!D19)</f>
        <v>875851.73140472872</v>
      </c>
      <c r="F45" s="493">
        <v>1</v>
      </c>
      <c r="G45" s="494">
        <f t="shared" si="2"/>
        <v>0</v>
      </c>
      <c r="H45" s="495">
        <f t="shared" si="3"/>
        <v>0</v>
      </c>
      <c r="I45" s="496">
        <f t="shared" si="4"/>
        <v>0</v>
      </c>
      <c r="J45" s="496">
        <f t="shared" si="5"/>
        <v>871200.03744845593</v>
      </c>
      <c r="K45" s="496">
        <f t="shared" si="6"/>
        <v>871200.03744845593</v>
      </c>
      <c r="L45" s="496">
        <f t="shared" si="7"/>
        <v>871200.03744845651</v>
      </c>
      <c r="M45" s="410">
        <f t="shared" si="8"/>
        <v>8.8158497623070774E-3</v>
      </c>
      <c r="N45" s="497">
        <f t="shared" si="9"/>
        <v>871200.03744845639</v>
      </c>
      <c r="O45" s="477"/>
      <c r="S45" s="455">
        <f t="shared" si="10"/>
        <v>0</v>
      </c>
      <c r="T45" s="455">
        <f t="shared" si="10"/>
        <v>1</v>
      </c>
      <c r="U45" s="477"/>
      <c r="V45" s="477">
        <f t="shared" si="11"/>
        <v>1</v>
      </c>
    </row>
    <row r="46" spans="2:22">
      <c r="B46" s="489">
        <f>גירעון!A26</f>
        <v>16</v>
      </c>
      <c r="C46" s="490" t="str">
        <f>גירעון!B26</f>
        <v/>
      </c>
      <c r="D46" s="491" t="str">
        <f>גירעון!P26</f>
        <v/>
      </c>
      <c r="E46" s="492" t="str">
        <f>IF(C46="","",ייצוב!D20)</f>
        <v/>
      </c>
      <c r="F46" s="493">
        <v>1</v>
      </c>
      <c r="G46" s="494" t="str">
        <f t="shared" si="2"/>
        <v/>
      </c>
      <c r="H46" s="495" t="str">
        <f t="shared" si="3"/>
        <v/>
      </c>
      <c r="I46" s="496" t="str">
        <f t="shared" si="4"/>
        <v/>
      </c>
      <c r="J46" s="496" t="str">
        <f t="shared" si="5"/>
        <v/>
      </c>
      <c r="K46" s="496" t="str">
        <f t="shared" si="6"/>
        <v/>
      </c>
      <c r="L46" s="496" t="str">
        <f t="shared" si="7"/>
        <v/>
      </c>
      <c r="M46" s="410" t="str">
        <f t="shared" si="8"/>
        <v/>
      </c>
      <c r="N46" s="497" t="str">
        <f t="shared" si="9"/>
        <v/>
      </c>
      <c r="O46" s="477"/>
      <c r="S46" s="455" t="str">
        <f t="shared" si="10"/>
        <v/>
      </c>
      <c r="T46" s="455" t="str">
        <f t="shared" si="10"/>
        <v/>
      </c>
      <c r="U46" s="477"/>
      <c r="V46" s="477">
        <f t="shared" si="11"/>
        <v>1</v>
      </c>
    </row>
    <row r="47" spans="2:22">
      <c r="B47" s="489">
        <f>גירעון!A27</f>
        <v>17</v>
      </c>
      <c r="C47" s="490" t="str">
        <f>גירעון!B27</f>
        <v>אינקובטור</v>
      </c>
      <c r="D47" s="491">
        <f>גירעון!P27</f>
        <v>1741676.408404923</v>
      </c>
      <c r="E47" s="492">
        <f>IF(C47="","",ייצוב!D21)</f>
        <v>1662459.5863330963</v>
      </c>
      <c r="F47" s="493">
        <v>1</v>
      </c>
      <c r="G47" s="494">
        <f t="shared" si="2"/>
        <v>0</v>
      </c>
      <c r="H47" s="495">
        <f t="shared" si="3"/>
        <v>0</v>
      </c>
      <c r="I47" s="496">
        <f t="shared" si="4"/>
        <v>0</v>
      </c>
      <c r="J47" s="496">
        <f t="shared" si="5"/>
        <v>1741676.408404923</v>
      </c>
      <c r="K47" s="496">
        <f t="shared" si="6"/>
        <v>1741676.408404923</v>
      </c>
      <c r="L47" s="496">
        <f t="shared" si="7"/>
        <v>1741676.4084049242</v>
      </c>
      <c r="M47" s="410">
        <f t="shared" si="8"/>
        <v>1.7624376596701897E-2</v>
      </c>
      <c r="N47" s="497">
        <f t="shared" si="9"/>
        <v>1741676.4084049237</v>
      </c>
      <c r="O47" s="477"/>
      <c r="S47" s="455">
        <f t="shared" si="10"/>
        <v>0</v>
      </c>
      <c r="T47" s="455">
        <f t="shared" si="10"/>
        <v>1</v>
      </c>
      <c r="U47" s="477"/>
      <c r="V47" s="477">
        <f t="shared" si="11"/>
        <v>1</v>
      </c>
    </row>
    <row r="48" spans="2:22">
      <c r="B48" s="489">
        <f>גירעון!A28</f>
        <v>18</v>
      </c>
      <c r="C48" s="490" t="str">
        <f>גירעון!B28</f>
        <v>אורנה פורת</v>
      </c>
      <c r="D48" s="491">
        <f>גירעון!P28</f>
        <v>5707427.5470066443</v>
      </c>
      <c r="E48" s="492">
        <f>IF(C48="","",ייצוב!D22)</f>
        <v>5507801.801832417</v>
      </c>
      <c r="F48" s="493">
        <v>1</v>
      </c>
      <c r="G48" s="494">
        <f t="shared" si="2"/>
        <v>0</v>
      </c>
      <c r="H48" s="495">
        <f t="shared" si="3"/>
        <v>0</v>
      </c>
      <c r="I48" s="496">
        <f t="shared" si="4"/>
        <v>0</v>
      </c>
      <c r="J48" s="496">
        <f t="shared" si="5"/>
        <v>5707427.5470066443</v>
      </c>
      <c r="K48" s="496">
        <f t="shared" si="6"/>
        <v>5707427.5470066443</v>
      </c>
      <c r="L48" s="496">
        <f t="shared" si="7"/>
        <v>5707427.547006648</v>
      </c>
      <c r="M48" s="410">
        <f t="shared" si="8"/>
        <v>5.7754616185539703E-2</v>
      </c>
      <c r="N48" s="497">
        <f t="shared" si="9"/>
        <v>5707427.5470066471</v>
      </c>
      <c r="O48" s="477"/>
      <c r="S48" s="455">
        <f t="shared" si="10"/>
        <v>0</v>
      </c>
      <c r="T48" s="455">
        <f t="shared" si="10"/>
        <v>1</v>
      </c>
      <c r="U48" s="477"/>
      <c r="V48" s="477">
        <f t="shared" si="11"/>
        <v>1</v>
      </c>
    </row>
    <row r="49" spans="2:22">
      <c r="B49" s="489">
        <f>גירעון!A29</f>
        <v>19</v>
      </c>
      <c r="C49" s="490" t="str">
        <f>גירעון!B29</f>
        <v>ארצי לנוער</v>
      </c>
      <c r="D49" s="491">
        <f>גירעון!P29</f>
        <v>3888382.8663211064</v>
      </c>
      <c r="E49" s="492">
        <f>IF(C49="","",ייצוב!D23)</f>
        <v>3743611.5406101155</v>
      </c>
      <c r="F49" s="493">
        <v>1</v>
      </c>
      <c r="G49" s="494">
        <f t="shared" si="2"/>
        <v>0</v>
      </c>
      <c r="H49" s="495">
        <f t="shared" si="3"/>
        <v>0</v>
      </c>
      <c r="I49" s="496">
        <f t="shared" si="4"/>
        <v>0</v>
      </c>
      <c r="J49" s="496">
        <f t="shared" si="5"/>
        <v>3888382.8663211064</v>
      </c>
      <c r="K49" s="496">
        <f t="shared" si="6"/>
        <v>3888382.8663211069</v>
      </c>
      <c r="L49" s="496">
        <f t="shared" si="7"/>
        <v>3888382.8663211092</v>
      </c>
      <c r="M49" s="410">
        <f t="shared" si="8"/>
        <v>3.9347334359870201E-2</v>
      </c>
      <c r="N49" s="497">
        <f t="shared" si="9"/>
        <v>3888382.8663211083</v>
      </c>
      <c r="O49" s="477"/>
      <c r="S49" s="455">
        <f t="shared" si="10"/>
        <v>0</v>
      </c>
      <c r="T49" s="455">
        <f t="shared" si="10"/>
        <v>1</v>
      </c>
      <c r="U49" s="477"/>
      <c r="V49" s="477">
        <f t="shared" si="11"/>
        <v>1</v>
      </c>
    </row>
    <row r="50" spans="2:22">
      <c r="B50" s="489">
        <f>גירעון!A30</f>
        <v>20</v>
      </c>
      <c r="C50" s="490" t="str">
        <f>גירעון!B30</f>
        <v>הקיבוץ</v>
      </c>
      <c r="D50" s="491">
        <f>גירעון!P30</f>
        <v>678725.90841097268</v>
      </c>
      <c r="E50" s="492">
        <f>IF(C50="","",ייצוב!D24)</f>
        <v>673841.08828729636</v>
      </c>
      <c r="F50" s="493">
        <v>1</v>
      </c>
      <c r="G50" s="494">
        <f t="shared" si="2"/>
        <v>0</v>
      </c>
      <c r="H50" s="495">
        <f t="shared" si="3"/>
        <v>0</v>
      </c>
      <c r="I50" s="496">
        <f t="shared" si="4"/>
        <v>0</v>
      </c>
      <c r="J50" s="496">
        <f t="shared" si="5"/>
        <v>678725.90841097268</v>
      </c>
      <c r="K50" s="496">
        <f t="shared" si="6"/>
        <v>678725.90841097268</v>
      </c>
      <c r="L50" s="496">
        <f t="shared" si="7"/>
        <v>678725.90841097315</v>
      </c>
      <c r="M50" s="410">
        <f t="shared" si="8"/>
        <v>6.8681650380330037E-3</v>
      </c>
      <c r="N50" s="497">
        <f t="shared" si="9"/>
        <v>678725.90841097303</v>
      </c>
      <c r="O50" s="477"/>
      <c r="S50" s="455">
        <f t="shared" si="10"/>
        <v>0</v>
      </c>
      <c r="T50" s="455">
        <f t="shared" si="10"/>
        <v>1</v>
      </c>
      <c r="U50" s="477"/>
      <c r="V50" s="477">
        <f t="shared" si="11"/>
        <v>1</v>
      </c>
    </row>
    <row r="51" spans="2:22">
      <c r="B51" s="489">
        <f>גירעון!A31</f>
        <v>21</v>
      </c>
      <c r="C51" s="490" t="str">
        <f>גירעון!B31</f>
        <v>הקרון</v>
      </c>
      <c r="D51" s="491">
        <f>גירעון!P31</f>
        <v>2208680.4828232797</v>
      </c>
      <c r="E51" s="492">
        <f>IF(C51="","",ייצוב!D25)</f>
        <v>2009589.7285658501</v>
      </c>
      <c r="F51" s="493">
        <v>1</v>
      </c>
      <c r="G51" s="494">
        <f t="shared" si="2"/>
        <v>0</v>
      </c>
      <c r="H51" s="495">
        <f t="shared" si="3"/>
        <v>0</v>
      </c>
      <c r="I51" s="496">
        <f t="shared" si="4"/>
        <v>0</v>
      </c>
      <c r="J51" s="496">
        <f t="shared" si="5"/>
        <v>2208680.4828232797</v>
      </c>
      <c r="K51" s="496">
        <f t="shared" si="6"/>
        <v>2208680.4828232797</v>
      </c>
      <c r="L51" s="496">
        <f t="shared" si="7"/>
        <v>2208680.4828232811</v>
      </c>
      <c r="M51" s="410">
        <f t="shared" si="8"/>
        <v>2.2350085482706266E-2</v>
      </c>
      <c r="N51" s="497">
        <f t="shared" si="9"/>
        <v>2208680.4828232811</v>
      </c>
      <c r="O51" s="477"/>
      <c r="S51" s="455">
        <f t="shared" si="10"/>
        <v>0</v>
      </c>
      <c r="T51" s="455">
        <f t="shared" si="10"/>
        <v>1</v>
      </c>
      <c r="U51" s="477"/>
      <c r="V51" s="477">
        <f t="shared" si="11"/>
        <v>1</v>
      </c>
    </row>
    <row r="52" spans="2:22">
      <c r="B52" s="489">
        <f>גירעון!A32</f>
        <v>22</v>
      </c>
      <c r="C52" s="490" t="str">
        <f>גירעון!B32</f>
        <v>בית הגפן</v>
      </c>
      <c r="D52" s="491">
        <f>גירעון!P32</f>
        <v>1243992.8629532021</v>
      </c>
      <c r="E52" s="492">
        <f>IF(C52="","",ייצוב!D26)</f>
        <v>1207442.2710694943</v>
      </c>
      <c r="F52" s="493">
        <v>1</v>
      </c>
      <c r="G52" s="494">
        <f t="shared" si="2"/>
        <v>0</v>
      </c>
      <c r="H52" s="495">
        <f t="shared" si="3"/>
        <v>0</v>
      </c>
      <c r="I52" s="496">
        <f t="shared" si="4"/>
        <v>0</v>
      </c>
      <c r="J52" s="496">
        <f t="shared" si="5"/>
        <v>1243992.8629532021</v>
      </c>
      <c r="K52" s="496">
        <f t="shared" si="6"/>
        <v>1243992.8629532021</v>
      </c>
      <c r="L52" s="496">
        <f t="shared" si="7"/>
        <v>1243992.8629532028</v>
      </c>
      <c r="M52" s="410">
        <f t="shared" si="8"/>
        <v>1.25882159248949E-2</v>
      </c>
      <c r="N52" s="497">
        <f t="shared" si="9"/>
        <v>1243992.8629532028</v>
      </c>
      <c r="O52" s="477"/>
      <c r="S52" s="455">
        <f t="shared" si="10"/>
        <v>0</v>
      </c>
      <c r="T52" s="455">
        <f t="shared" si="10"/>
        <v>1</v>
      </c>
      <c r="U52" s="477"/>
      <c r="V52" s="477">
        <f t="shared" si="11"/>
        <v>1</v>
      </c>
    </row>
    <row r="53" spans="2:22">
      <c r="B53" s="489">
        <f>גירעון!A33</f>
        <v>23</v>
      </c>
      <c r="C53" s="490" t="str">
        <f>גירעון!B33</f>
        <v>הנפש</v>
      </c>
      <c r="D53" s="491">
        <f>גירעון!P33</f>
        <v>828140.27701441967</v>
      </c>
      <c r="E53" s="492">
        <f>IF(C53="","",ייצוב!D27)</f>
        <v>784575.85018240102</v>
      </c>
      <c r="F53" s="493">
        <v>1</v>
      </c>
      <c r="G53" s="494">
        <f t="shared" si="2"/>
        <v>0</v>
      </c>
      <c r="H53" s="495">
        <f t="shared" si="3"/>
        <v>0</v>
      </c>
      <c r="I53" s="496">
        <f t="shared" si="4"/>
        <v>0</v>
      </c>
      <c r="J53" s="496">
        <f t="shared" si="5"/>
        <v>828140.27701441967</v>
      </c>
      <c r="K53" s="496">
        <f t="shared" si="6"/>
        <v>828140.27701441967</v>
      </c>
      <c r="L53" s="496">
        <f t="shared" si="7"/>
        <v>828140.27701442013</v>
      </c>
      <c r="M53" s="410">
        <f t="shared" si="8"/>
        <v>8.3801193187005955E-3</v>
      </c>
      <c r="N53" s="497">
        <f t="shared" si="9"/>
        <v>828140.27701442002</v>
      </c>
      <c r="O53" s="477"/>
      <c r="S53" s="455">
        <f t="shared" si="10"/>
        <v>0</v>
      </c>
      <c r="T53" s="455">
        <f t="shared" si="10"/>
        <v>1</v>
      </c>
      <c r="U53" s="477"/>
      <c r="V53" s="477">
        <f t="shared" si="11"/>
        <v>1</v>
      </c>
    </row>
    <row r="54" spans="2:22">
      <c r="B54" s="489">
        <f>גירעון!A34</f>
        <v>24</v>
      </c>
      <c r="C54" s="490" t="str">
        <f>גירעון!B34</f>
        <v>השעה</v>
      </c>
      <c r="D54" s="491">
        <f>גירעון!P34</f>
        <v>4047431.4241910456</v>
      </c>
      <c r="E54" s="492">
        <f>IF(C54="","",ייצוב!D28)</f>
        <v>3195755.1973073515</v>
      </c>
      <c r="F54" s="493">
        <v>1</v>
      </c>
      <c r="G54" s="494">
        <f t="shared" si="2"/>
        <v>0</v>
      </c>
      <c r="H54" s="495">
        <f t="shared" si="3"/>
        <v>0</v>
      </c>
      <c r="I54" s="496">
        <f t="shared" si="4"/>
        <v>0</v>
      </c>
      <c r="J54" s="496">
        <f t="shared" si="5"/>
        <v>4047431.4241910456</v>
      </c>
      <c r="K54" s="496">
        <f t="shared" si="6"/>
        <v>4047431.4241910456</v>
      </c>
      <c r="L54" s="496">
        <f t="shared" si="7"/>
        <v>4047431.4241910479</v>
      </c>
      <c r="M54" s="410">
        <f t="shared" si="8"/>
        <v>4.0956778954477371E-2</v>
      </c>
      <c r="N54" s="497">
        <f t="shared" si="9"/>
        <v>4047431.424191047</v>
      </c>
      <c r="O54" s="477"/>
      <c r="S54" s="455">
        <f t="shared" si="10"/>
        <v>0</v>
      </c>
      <c r="T54" s="455">
        <f t="shared" si="10"/>
        <v>1</v>
      </c>
      <c r="U54" s="477"/>
      <c r="V54" s="477">
        <f t="shared" si="11"/>
        <v>1</v>
      </c>
    </row>
    <row r="55" spans="2:22">
      <c r="B55" s="489">
        <f>גירעון!A35</f>
        <v>25</v>
      </c>
      <c r="C55" s="490" t="str">
        <f>גירעון!B35</f>
        <v>עדי</v>
      </c>
      <c r="D55" s="491">
        <f>גירעון!P35</f>
        <v>435240.44204694597</v>
      </c>
      <c r="E55" s="492">
        <f>IF(C55="","",ייצוב!D29)</f>
        <v>479774.58904683229</v>
      </c>
      <c r="F55" s="493">
        <v>1</v>
      </c>
      <c r="G55" s="494">
        <f t="shared" si="2"/>
        <v>0</v>
      </c>
      <c r="H55" s="495">
        <f t="shared" si="3"/>
        <v>0</v>
      </c>
      <c r="I55" s="496">
        <f t="shared" si="4"/>
        <v>0</v>
      </c>
      <c r="J55" s="496">
        <f t="shared" si="5"/>
        <v>435240.44204694597</v>
      </c>
      <c r="K55" s="496">
        <f t="shared" si="6"/>
        <v>435240.44204694591</v>
      </c>
      <c r="L55" s="496">
        <f t="shared" si="7"/>
        <v>435240.44204694621</v>
      </c>
      <c r="M55" s="410">
        <f t="shared" si="8"/>
        <v>4.4042862518735943E-3</v>
      </c>
      <c r="N55" s="497">
        <f t="shared" si="9"/>
        <v>435240.44204694609</v>
      </c>
      <c r="O55" s="477"/>
      <c r="S55" s="455">
        <f t="shared" si="10"/>
        <v>0</v>
      </c>
      <c r="T55" s="455">
        <f t="shared" si="10"/>
        <v>1</v>
      </c>
      <c r="U55" s="477"/>
      <c r="V55" s="477">
        <f t="shared" si="11"/>
        <v>1</v>
      </c>
    </row>
    <row r="56" spans="2:22">
      <c r="B56" s="489">
        <f>גירעון!A36</f>
        <v>26</v>
      </c>
      <c r="C56" s="490" t="str">
        <f>גירעון!B36</f>
        <v>מדייטק</v>
      </c>
      <c r="D56" s="491">
        <f>גירעון!P36</f>
        <v>1818568.0219800444</v>
      </c>
      <c r="E56" s="492">
        <f>IF(C56="","",ייצוב!D30)</f>
        <v>1737732.4297693174</v>
      </c>
      <c r="F56" s="493">
        <v>1</v>
      </c>
      <c r="G56" s="494">
        <f t="shared" si="2"/>
        <v>0</v>
      </c>
      <c r="H56" s="495">
        <f t="shared" si="3"/>
        <v>0</v>
      </c>
      <c r="I56" s="496">
        <f t="shared" si="4"/>
        <v>0</v>
      </c>
      <c r="J56" s="496">
        <f t="shared" si="5"/>
        <v>1818568.0219800444</v>
      </c>
      <c r="K56" s="496">
        <f t="shared" si="6"/>
        <v>1818568.0219800442</v>
      </c>
      <c r="L56" s="496">
        <f t="shared" si="7"/>
        <v>1818568.0219800454</v>
      </c>
      <c r="M56" s="410">
        <f t="shared" si="8"/>
        <v>1.8402458419614749E-2</v>
      </c>
      <c r="N56" s="497">
        <f t="shared" si="9"/>
        <v>1818568.0219800451</v>
      </c>
      <c r="O56" s="477"/>
      <c r="S56" s="455">
        <f t="shared" si="10"/>
        <v>0</v>
      </c>
      <c r="T56" s="455">
        <f t="shared" si="10"/>
        <v>1</v>
      </c>
      <c r="U56" s="477"/>
      <c r="V56" s="477">
        <f t="shared" si="11"/>
        <v>1</v>
      </c>
    </row>
    <row r="57" spans="2:22">
      <c r="B57" s="489">
        <f>גירעון!A37</f>
        <v>27</v>
      </c>
      <c r="C57" s="490" t="str">
        <f>גירעון!B37</f>
        <v>חני</v>
      </c>
      <c r="D57" s="491">
        <f>גירעון!P37</f>
        <v>418385.16795887152</v>
      </c>
      <c r="E57" s="492">
        <f>IF(C57="","",ייצוב!D31)</f>
        <v>432428.91583493038</v>
      </c>
      <c r="F57" s="493">
        <v>1</v>
      </c>
      <c r="G57" s="494">
        <f t="shared" si="2"/>
        <v>0</v>
      </c>
      <c r="H57" s="495">
        <f t="shared" si="3"/>
        <v>0</v>
      </c>
      <c r="I57" s="496">
        <f t="shared" si="4"/>
        <v>0</v>
      </c>
      <c r="J57" s="496">
        <f t="shared" si="5"/>
        <v>418385.16795887152</v>
      </c>
      <c r="K57" s="496">
        <f t="shared" si="6"/>
        <v>418385.16795887152</v>
      </c>
      <c r="L57" s="496">
        <f t="shared" si="7"/>
        <v>418385.16795887175</v>
      </c>
      <c r="M57" s="410">
        <f t="shared" si="8"/>
        <v>4.2337243169841424E-3</v>
      </c>
      <c r="N57" s="497">
        <f t="shared" si="9"/>
        <v>418385.16795887169</v>
      </c>
      <c r="O57" s="477"/>
      <c r="S57" s="455">
        <f t="shared" si="10"/>
        <v>0</v>
      </c>
      <c r="T57" s="455">
        <f t="shared" si="10"/>
        <v>1</v>
      </c>
      <c r="U57" s="477"/>
      <c r="V57" s="477">
        <f t="shared" si="11"/>
        <v>1</v>
      </c>
    </row>
    <row r="58" spans="2:22">
      <c r="B58" s="489">
        <f>גירעון!A38</f>
        <v>28</v>
      </c>
      <c r="C58" s="490" t="str">
        <f>גירעון!B38</f>
        <v xml:space="preserve">גשן </v>
      </c>
      <c r="D58" s="491">
        <f>גירעון!P38</f>
        <v>830070.79800765519</v>
      </c>
      <c r="E58" s="492">
        <f>IF(C58="","",ייצוב!D32)</f>
        <v>798447.00569656794</v>
      </c>
      <c r="F58" s="493">
        <v>1</v>
      </c>
      <c r="G58" s="494">
        <f t="shared" si="2"/>
        <v>0</v>
      </c>
      <c r="H58" s="495">
        <f t="shared" si="3"/>
        <v>0</v>
      </c>
      <c r="I58" s="496">
        <f t="shared" si="4"/>
        <v>0</v>
      </c>
      <c r="J58" s="496">
        <f t="shared" si="5"/>
        <v>830070.79800765519</v>
      </c>
      <c r="K58" s="496">
        <f t="shared" si="6"/>
        <v>830070.79800765519</v>
      </c>
      <c r="L58" s="496">
        <f t="shared" si="7"/>
        <v>830070.79800765566</v>
      </c>
      <c r="M58" s="410">
        <f t="shared" si="8"/>
        <v>8.39965465192807E-3</v>
      </c>
      <c r="N58" s="497">
        <f t="shared" si="9"/>
        <v>830070.79800765554</v>
      </c>
      <c r="O58" s="477"/>
      <c r="S58" s="455">
        <f t="shared" si="10"/>
        <v>0</v>
      </c>
      <c r="T58" s="455">
        <f t="shared" si="10"/>
        <v>1</v>
      </c>
      <c r="U58" s="477"/>
      <c r="V58" s="477">
        <f t="shared" si="11"/>
        <v>1</v>
      </c>
    </row>
    <row r="59" spans="2:22">
      <c r="B59" s="489">
        <f>גירעון!A39</f>
        <v>29</v>
      </c>
      <c r="C59" s="490" t="str">
        <f>גירעון!B39</f>
        <v>תיאטרון העברי</v>
      </c>
      <c r="D59" s="491">
        <f>גירעון!P39</f>
        <v>658627.66899702628</v>
      </c>
      <c r="E59" s="492">
        <f>IF(C59="","",ייצוב!D33)</f>
        <v>504948.31067219167</v>
      </c>
      <c r="F59" s="493">
        <v>1</v>
      </c>
      <c r="G59" s="494">
        <f t="shared" si="2"/>
        <v>0</v>
      </c>
      <c r="H59" s="495">
        <f t="shared" si="3"/>
        <v>0</v>
      </c>
      <c r="I59" s="496">
        <f t="shared" si="4"/>
        <v>0</v>
      </c>
      <c r="J59" s="496">
        <f t="shared" si="5"/>
        <v>658627.66899702628</v>
      </c>
      <c r="K59" s="496">
        <f t="shared" si="6"/>
        <v>658627.66899702628</v>
      </c>
      <c r="L59" s="496">
        <f t="shared" si="7"/>
        <v>658627.66899702663</v>
      </c>
      <c r="M59" s="410">
        <f t="shared" si="8"/>
        <v>6.6647868796950406E-3</v>
      </c>
      <c r="N59" s="497">
        <f t="shared" si="9"/>
        <v>658627.66899702651</v>
      </c>
      <c r="O59" s="477"/>
      <c r="S59" s="455">
        <f t="shared" si="10"/>
        <v>0</v>
      </c>
      <c r="T59" s="455">
        <f t="shared" si="10"/>
        <v>1</v>
      </c>
      <c r="U59" s="477"/>
      <c r="V59" s="477">
        <f t="shared" si="11"/>
        <v>1</v>
      </c>
    </row>
    <row r="60" spans="2:22">
      <c r="B60" s="489">
        <f>גירעון!A40</f>
        <v>30</v>
      </c>
      <c r="C60" s="490" t="str">
        <f>גירעון!B40</f>
        <v>גליון ריק 2</v>
      </c>
      <c r="D60" s="491">
        <f>גירעון!P40</f>
        <v>0</v>
      </c>
      <c r="E60" s="492">
        <f>IF(C60="","",ייצוב!D34)</f>
        <v>0</v>
      </c>
      <c r="F60" s="493">
        <v>1</v>
      </c>
      <c r="G60" s="494">
        <f t="shared" si="2"/>
        <v>0</v>
      </c>
      <c r="H60" s="495">
        <f t="shared" si="3"/>
        <v>0</v>
      </c>
      <c r="I60" s="496">
        <f t="shared" si="4"/>
        <v>0</v>
      </c>
      <c r="J60" s="496">
        <f t="shared" si="5"/>
        <v>0</v>
      </c>
      <c r="K60" s="496">
        <f t="shared" si="6"/>
        <v>0</v>
      </c>
      <c r="L60" s="496">
        <f t="shared" si="7"/>
        <v>0</v>
      </c>
      <c r="M60" s="410">
        <f t="shared" si="8"/>
        <v>0</v>
      </c>
      <c r="N60" s="497">
        <f t="shared" si="9"/>
        <v>0</v>
      </c>
      <c r="O60" s="477"/>
      <c r="S60" s="455">
        <f t="shared" si="10"/>
        <v>0</v>
      </c>
      <c r="T60" s="455">
        <f t="shared" si="10"/>
        <v>1</v>
      </c>
      <c r="U60" s="477"/>
      <c r="V60" s="477">
        <f t="shared" si="11"/>
        <v>1</v>
      </c>
    </row>
    <row r="61" spans="2:22">
      <c r="B61" s="489">
        <f>גירעון!A41</f>
        <v>31</v>
      </c>
      <c r="C61" s="490" t="str">
        <f>גירעון!B41</f>
        <v>גליון ריק 3</v>
      </c>
      <c r="D61" s="491">
        <f>גירעון!P41</f>
        <v>0</v>
      </c>
      <c r="E61" s="492">
        <f>IF(C61="","",ייצוב!D35)</f>
        <v>0</v>
      </c>
      <c r="F61" s="493">
        <v>1</v>
      </c>
      <c r="G61" s="494">
        <f t="shared" si="2"/>
        <v>0</v>
      </c>
      <c r="H61" s="495">
        <f t="shared" si="3"/>
        <v>0</v>
      </c>
      <c r="I61" s="496">
        <f t="shared" si="4"/>
        <v>0</v>
      </c>
      <c r="J61" s="496">
        <f t="shared" si="5"/>
        <v>0</v>
      </c>
      <c r="K61" s="496">
        <f t="shared" si="6"/>
        <v>0</v>
      </c>
      <c r="L61" s="496">
        <f t="shared" si="7"/>
        <v>0</v>
      </c>
      <c r="M61" s="410">
        <f t="shared" si="8"/>
        <v>0</v>
      </c>
      <c r="N61" s="497">
        <f t="shared" si="9"/>
        <v>0</v>
      </c>
      <c r="O61" s="477"/>
      <c r="S61" s="455">
        <f t="shared" si="10"/>
        <v>0</v>
      </c>
      <c r="T61" s="455">
        <f t="shared" si="10"/>
        <v>1</v>
      </c>
      <c r="U61" s="477"/>
      <c r="V61" s="477">
        <f t="shared" si="11"/>
        <v>1</v>
      </c>
    </row>
    <row r="62" spans="2:22">
      <c r="B62" s="489">
        <f>גירעון!A42</f>
        <v>32</v>
      </c>
      <c r="C62" s="490" t="str">
        <f>גירעון!B42</f>
        <v/>
      </c>
      <c r="D62" s="491" t="str">
        <f>גירעון!P42</f>
        <v/>
      </c>
      <c r="E62" s="492" t="str">
        <f>IF(C62="","",ייצוב!D36)</f>
        <v/>
      </c>
      <c r="F62" s="493">
        <v>1</v>
      </c>
      <c r="G62" s="494" t="str">
        <f t="shared" si="2"/>
        <v/>
      </c>
      <c r="H62" s="495" t="str">
        <f t="shared" si="3"/>
        <v/>
      </c>
      <c r="I62" s="496" t="str">
        <f t="shared" si="4"/>
        <v/>
      </c>
      <c r="J62" s="496" t="str">
        <f t="shared" si="5"/>
        <v/>
      </c>
      <c r="K62" s="496" t="str">
        <f t="shared" si="6"/>
        <v/>
      </c>
      <c r="L62" s="496" t="str">
        <f t="shared" si="7"/>
        <v/>
      </c>
      <c r="M62" s="410" t="str">
        <f t="shared" si="8"/>
        <v/>
      </c>
      <c r="N62" s="497" t="str">
        <f t="shared" si="9"/>
        <v/>
      </c>
      <c r="O62" s="477"/>
      <c r="S62" s="455" t="str">
        <f t="shared" si="10"/>
        <v/>
      </c>
      <c r="T62" s="455" t="str">
        <f t="shared" si="10"/>
        <v/>
      </c>
      <c r="U62" s="477"/>
      <c r="V62" s="477">
        <f t="shared" si="11"/>
        <v>1</v>
      </c>
    </row>
    <row r="63" spans="2:22" ht="16.5" thickBot="1">
      <c r="B63" s="489">
        <f>גירעון!A43</f>
        <v>33</v>
      </c>
      <c r="C63" s="490" t="str">
        <f>גירעון!B43</f>
        <v/>
      </c>
      <c r="D63" s="491" t="str">
        <f>גירעון!P43</f>
        <v/>
      </c>
      <c r="E63" s="492" t="str">
        <f>IF(C63="","",ייצוב!D37)</f>
        <v/>
      </c>
      <c r="F63" s="493">
        <v>1</v>
      </c>
      <c r="G63" s="494" t="str">
        <f>IF($C63="","",IF(OR(C63="",D63="",E63="",V63&lt;&gt;1),$T$1,IF($D63&lt;$E63*$E$6,1,0)))</f>
        <v/>
      </c>
      <c r="H63" s="495" t="str">
        <f t="shared" si="3"/>
        <v/>
      </c>
      <c r="I63" s="496" t="str">
        <f>IF($C63="","",$E63*$E$6)</f>
        <v/>
      </c>
      <c r="J63" s="496" t="str">
        <f>IF(C63="","",MAX(0,D63-I63))</f>
        <v/>
      </c>
      <c r="K63" s="496" t="str">
        <f>IF(C63="","",IF(AND($K$6&gt;0,J63&gt;0),((J63/$J$64)*$K$6)+I63,I63))</f>
        <v/>
      </c>
      <c r="L63" s="496" t="str">
        <f>IF(C63="","",IF($K$7&gt;0,(K63/$K$64*$K$7)+K63,K63))</f>
        <v/>
      </c>
      <c r="M63" s="410" t="str">
        <f>IF(C63="","",IF(OR($Q$3&lt;&gt;1,$V$28&lt;&gt;1),$T$1,IFERROR(L63/$L$64,$T$1)))</f>
        <v/>
      </c>
      <c r="N63" s="497" t="str">
        <f>IF(C63="","",IF(OR($Q$3&lt;&gt;1,$V$28&lt;&gt;1),$T$1,IFERROR(M63*$C$2,$T$1)))</f>
        <v/>
      </c>
      <c r="O63" s="477"/>
      <c r="S63" s="455" t="str">
        <f t="shared" si="10"/>
        <v/>
      </c>
      <c r="T63" s="455" t="str">
        <f t="shared" si="10"/>
        <v/>
      </c>
      <c r="U63" s="477"/>
      <c r="V63" s="477">
        <f t="shared" si="11"/>
        <v>1</v>
      </c>
    </row>
    <row r="64" spans="2:22" ht="16.5" thickBot="1">
      <c r="B64" s="696" t="s">
        <v>26</v>
      </c>
      <c r="C64" s="697"/>
      <c r="D64" s="498">
        <f t="shared" ref="D64:N64" si="12">SUM(D31:D63)</f>
        <v>98822014.99999994</v>
      </c>
      <c r="E64" s="499">
        <f t="shared" si="12"/>
        <v>96733016.00000003</v>
      </c>
      <c r="F64" s="500">
        <f t="shared" si="12"/>
        <v>33</v>
      </c>
      <c r="G64" s="500">
        <f t="shared" si="12"/>
        <v>0</v>
      </c>
      <c r="H64" s="500">
        <f t="shared" si="12"/>
        <v>0</v>
      </c>
      <c r="I64" s="499">
        <f t="shared" si="12"/>
        <v>0</v>
      </c>
      <c r="J64" s="499">
        <f t="shared" si="12"/>
        <v>98822014.99999994</v>
      </c>
      <c r="K64" s="499">
        <f t="shared" si="12"/>
        <v>98822014.99999994</v>
      </c>
      <c r="L64" s="499">
        <f t="shared" si="12"/>
        <v>98822015.000000015</v>
      </c>
      <c r="M64" s="501">
        <f t="shared" si="12"/>
        <v>1.0000000000000002</v>
      </c>
      <c r="N64" s="502">
        <f t="shared" si="12"/>
        <v>98822014.999999985</v>
      </c>
    </row>
  </sheetData>
  <sheetProtection password="CC01" sheet="1" objects="1" scenarios="1" formatColumns="0" formatRows="0"/>
  <mergeCells count="15">
    <mergeCell ref="B64:C64"/>
    <mergeCell ref="C6:D6"/>
    <mergeCell ref="B28:N28"/>
    <mergeCell ref="B29:B30"/>
    <mergeCell ref="C29:C30"/>
    <mergeCell ref="D29:D30"/>
    <mergeCell ref="E29:E30"/>
    <mergeCell ref="G29:G30"/>
    <mergeCell ref="H29:H30"/>
    <mergeCell ref="I29:I30"/>
    <mergeCell ref="J29:J30"/>
    <mergeCell ref="K29:K30"/>
    <mergeCell ref="L29:L30"/>
    <mergeCell ref="M29:M30"/>
    <mergeCell ref="N29:N30"/>
  </mergeCells>
  <conditionalFormatting sqref="B31:C63 H31:L63">
    <cfRule type="containsBlanks" dxfId="24" priority="12">
      <formula>LEN(TRIM(B31))=0</formula>
    </cfRule>
  </conditionalFormatting>
  <conditionalFormatting sqref="E31:F63">
    <cfRule type="expression" dxfId="23" priority="9">
      <formula>AND($C31="",E31&lt;&gt;"")</formula>
    </cfRule>
    <cfRule type="expression" dxfId="22" priority="11">
      <formula>$C31&lt;&gt;""</formula>
    </cfRule>
  </conditionalFormatting>
  <conditionalFormatting sqref="E31:F63">
    <cfRule type="expression" dxfId="21" priority="10">
      <formula>$C31=""</formula>
    </cfRule>
  </conditionalFormatting>
  <conditionalFormatting sqref="M31:N63">
    <cfRule type="containsBlanks" dxfId="20" priority="8">
      <formula>LEN(TRIM(M31))=0</formula>
    </cfRule>
  </conditionalFormatting>
  <conditionalFormatting sqref="N31:N63">
    <cfRule type="expression" dxfId="19" priority="7">
      <formula>N31=$T$1</formula>
    </cfRule>
  </conditionalFormatting>
  <conditionalFormatting sqref="M31:M63">
    <cfRule type="expression" dxfId="18" priority="6">
      <formula>M31=$T$1</formula>
    </cfRule>
  </conditionalFormatting>
  <conditionalFormatting sqref="G31:G63">
    <cfRule type="containsBlanks" dxfId="17" priority="5">
      <formula>LEN(TRIM(G31))=0</formula>
    </cfRule>
  </conditionalFormatting>
  <conditionalFormatting sqref="G31:G63">
    <cfRule type="expression" dxfId="16" priority="4">
      <formula>G31=$T$1</formula>
    </cfRule>
  </conditionalFormatting>
  <conditionalFormatting sqref="D31:D63">
    <cfRule type="containsBlanks" dxfId="15" priority="3">
      <formula>LEN(TRIM(D31))=0</formula>
    </cfRule>
  </conditionalFormatting>
  <conditionalFormatting sqref="D31:D63">
    <cfRule type="expression" dxfId="14" priority="2">
      <formula>D31=$S$1</formula>
    </cfRule>
  </conditionalFormatting>
  <conditionalFormatting sqref="C1:C2">
    <cfRule type="containsBlanks" dxfId="13" priority="1">
      <formula>LEN(TRIM(C1))=0</formula>
    </cfRule>
  </conditionalFormatting>
  <dataValidations count="1">
    <dataValidation type="list" allowBlank="1" showInputMessage="1" showErrorMessage="1" error="יש להזין 0 או 1 _x000a_0  = לא זכאי להגנה_x000a_1 - זכאי להגנה" sqref="F31:F63">
      <formula1>$S31:$T31</formula1>
    </dataValidation>
  </dataValidations>
  <pageMargins left="0.70866141732283472" right="0.70866141732283472" top="0.74803149606299213" bottom="0.74803149606299213" header="0.31496062992125984" footer="0.31496062992125984"/>
  <pageSetup paperSize="9" scale="17" orientation="landscape" r:id="rId1"/>
  <headerFooter>
    <oddFooter>&amp;Lא. חפץ ושות'
יעוץ כלכלי</oddFooter>
  </headerFooter>
  <ignoredErrors>
    <ignoredError sqref="E31 E33:E63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85">
    <tabColor rgb="FF99CCFF"/>
  </sheetPr>
  <dimension ref="A1:J43"/>
  <sheetViews>
    <sheetView rightToLeft="1" view="pageBreakPreview" zoomScale="80" zoomScaleNormal="100" zoomScaleSheetLayoutView="80" workbookViewId="0">
      <pane xSplit="2" ySplit="10" topLeftCell="C11" activePane="bottomRight" state="frozen"/>
      <selection activeCell="B22" sqref="B22"/>
      <selection pane="topRight" activeCell="B22" sqref="B22"/>
      <selection pane="bottomLeft" activeCell="B22" sqref="B22"/>
      <selection pane="bottomRight" activeCell="A13" sqref="A13:XFD13"/>
    </sheetView>
  </sheetViews>
  <sheetFormatPr defaultColWidth="9.140625" defaultRowHeight="15.75" outlineLevelRow="1"/>
  <cols>
    <col min="1" max="1" width="14.85546875" style="349" customWidth="1"/>
    <col min="2" max="2" width="34.42578125" style="349" bestFit="1" customWidth="1"/>
    <col min="3" max="5" width="20.28515625" style="349" customWidth="1"/>
    <col min="6" max="6" width="36.85546875" style="349" customWidth="1"/>
    <col min="7" max="7" width="27.7109375" style="349" customWidth="1"/>
    <col min="8" max="8" width="21.5703125" style="349" bestFit="1" customWidth="1"/>
    <col min="9" max="9" width="16.5703125" style="349" customWidth="1"/>
    <col min="10" max="10" width="17.42578125" style="349" customWidth="1"/>
    <col min="11" max="16384" width="9.140625" style="349"/>
  </cols>
  <sheetData>
    <row r="1" spans="1:10" ht="15.75" customHeight="1" thickBot="1">
      <c r="B1" s="347" t="str">
        <f>פרמטרים!B1</f>
        <v>שנת התקציב</v>
      </c>
      <c r="C1" s="348">
        <f>פרמטרים!D1</f>
        <v>2018</v>
      </c>
      <c r="D1" s="350"/>
      <c r="E1" s="350"/>
      <c r="F1" s="350"/>
    </row>
    <row r="2" spans="1:10" ht="16.5" customHeight="1">
      <c r="B2" s="347" t="str">
        <f>פרמטרים!B2</f>
        <v>תקציב</v>
      </c>
      <c r="C2" s="340">
        <f>פרמטרים!D2</f>
        <v>98822015</v>
      </c>
      <c r="D2" s="351"/>
      <c r="E2" s="351"/>
      <c r="F2" s="351"/>
    </row>
    <row r="3" spans="1:10" ht="16.5" thickBot="1">
      <c r="D3" s="351"/>
      <c r="E3" s="351"/>
    </row>
    <row r="4" spans="1:10" outlineLevel="1">
      <c r="B4" s="715" t="s">
        <v>275</v>
      </c>
      <c r="C4" s="716"/>
      <c r="D4" s="351"/>
      <c r="E4" s="351"/>
    </row>
    <row r="5" spans="1:10" ht="68.25" customHeight="1" outlineLevel="1">
      <c r="B5" s="352" t="str">
        <f>פרמטרים!A76</f>
        <v>מוסד אשר מספר הנשים החברות בוועד המנהל שלו לעומת כלל חברי הוועד המנהל גדול מ:</v>
      </c>
      <c r="C5" s="352">
        <f>פרמטרים!B76</f>
        <v>0.3</v>
      </c>
      <c r="D5" s="351"/>
      <c r="E5" s="351"/>
    </row>
    <row r="6" spans="1:10" outlineLevel="1">
      <c r="B6" s="352" t="str">
        <f>פרמטרים!A77</f>
        <v>תגדל התמיכה בו ב:</v>
      </c>
      <c r="C6" s="352">
        <f>פרמטרים!B77</f>
        <v>0.02</v>
      </c>
      <c r="D6" s="351"/>
      <c r="E6" s="351"/>
    </row>
    <row r="7" spans="1:10" ht="47.25" hidden="1" customHeight="1" outlineLevel="1">
      <c r="B7" s="352">
        <f>פרמטרים!A78</f>
        <v>0</v>
      </c>
    </row>
    <row r="8" spans="1:10" ht="16.5" collapsed="1" thickBot="1"/>
    <row r="9" spans="1:10" ht="19.5" thickBot="1">
      <c r="A9" s="717" t="str">
        <f ca="1">MID(CELL("filename",B1),FIND("]",CELL("filename",C1),1)+1,99)</f>
        <v>הרכב חברי הוועדה</v>
      </c>
      <c r="B9" s="718"/>
      <c r="C9" s="718"/>
      <c r="D9" s="718"/>
      <c r="E9" s="718"/>
      <c r="F9" s="718"/>
      <c r="G9" s="718"/>
      <c r="H9" s="718"/>
      <c r="I9" s="718"/>
      <c r="J9" s="719"/>
    </row>
    <row r="10" spans="1:10" ht="45.75" customHeight="1" thickBot="1">
      <c r="A10" s="503" t="s">
        <v>23</v>
      </c>
      <c r="B10" s="503" t="s">
        <v>270</v>
      </c>
      <c r="C10" s="503" t="s">
        <v>334</v>
      </c>
      <c r="D10" s="503" t="s">
        <v>278</v>
      </c>
      <c r="E10" s="503" t="s">
        <v>279</v>
      </c>
      <c r="F10" s="503" t="s">
        <v>280</v>
      </c>
      <c r="G10" s="503" t="s">
        <v>281</v>
      </c>
      <c r="H10" s="503" t="s">
        <v>337</v>
      </c>
      <c r="I10" s="503" t="s">
        <v>335</v>
      </c>
      <c r="J10" s="503" t="s">
        <v>336</v>
      </c>
    </row>
    <row r="11" spans="1:10">
      <c r="A11" s="409">
        <f>גירעון!A11</f>
        <v>1</v>
      </c>
      <c r="B11" s="504" t="str">
        <f>גירעון!B11</f>
        <v>הבימה</v>
      </c>
      <c r="C11" s="342">
        <f>גירעון!O11</f>
        <v>0.17385252406087146</v>
      </c>
      <c r="D11" s="507">
        <v>5</v>
      </c>
      <c r="E11" s="507">
        <v>10</v>
      </c>
      <c r="F11" s="506">
        <f>IF(B11="","",IFERROR(D11/E11,0))</f>
        <v>0.5</v>
      </c>
      <c r="G11" s="508">
        <f>IF(B11="","",IFERROR(IF(F11&gt;=$C$5,1,0),"הזנה שגויה"))</f>
        <v>1</v>
      </c>
      <c r="H11" s="509">
        <f>IF(B11="","",IFERROR(IF(G11=1,C11*(1+$C$6),C11),""))</f>
        <v>0.17732957454208889</v>
      </c>
      <c r="I11" s="510">
        <f t="shared" ref="I11:I36" si="0">IF(B11="","",IFERROR(H11/SUMIF($H$11:$H$42,"&lt;&gt;#DIV/0!"),0))</f>
        <v>0.17390217364642904</v>
      </c>
      <c r="J11" s="511">
        <f>IFERROR(I11*$C$2,"")</f>
        <v>17185363.212620016</v>
      </c>
    </row>
    <row r="12" spans="1:10">
      <c r="A12" s="409">
        <f>גירעון!A12</f>
        <v>2</v>
      </c>
      <c r="B12" s="504" t="str">
        <f>גירעון!B12</f>
        <v>הקאמרי</v>
      </c>
      <c r="C12" s="342">
        <f>גירעון!O12</f>
        <v>0.11246573187086088</v>
      </c>
      <c r="D12" s="505">
        <v>3</v>
      </c>
      <c r="E12" s="505">
        <v>8</v>
      </c>
      <c r="F12" s="342">
        <f t="shared" ref="F12:F36" si="1">IF(B12="","",IFERROR(D12/E12,0))</f>
        <v>0.375</v>
      </c>
      <c r="G12" s="353">
        <f t="shared" ref="G12:G36" si="2">IF(B12="","",IFERROR(IF(F12&gt;=$C$5,1,0),"הזנה שגויה"))</f>
        <v>1</v>
      </c>
      <c r="H12" s="354">
        <f t="shared" ref="H12:H36" si="3">IF(B12="","",IFERROR(IF(G12=1,C12*(1+$C$6),C12),""))</f>
        <v>0.1147150465082781</v>
      </c>
      <c r="I12" s="343">
        <f t="shared" si="0"/>
        <v>0.11249785034027616</v>
      </c>
      <c r="J12" s="512">
        <f t="shared" ref="J12:J36" si="4">IFERROR(I12*$C$2,"")</f>
        <v>11117264.253794527</v>
      </c>
    </row>
    <row r="13" spans="1:10">
      <c r="A13" s="409">
        <f>גירעון!A13</f>
        <v>3</v>
      </c>
      <c r="B13" s="504" t="str">
        <f>גירעון!B13</f>
        <v>בית לסין</v>
      </c>
      <c r="C13" s="342">
        <f>גירעון!O13</f>
        <v>8.8877416666977418E-2</v>
      </c>
      <c r="D13" s="505">
        <v>3</v>
      </c>
      <c r="E13" s="505">
        <v>10</v>
      </c>
      <c r="F13" s="342">
        <f t="shared" si="1"/>
        <v>0.3</v>
      </c>
      <c r="G13" s="353">
        <f t="shared" si="2"/>
        <v>1</v>
      </c>
      <c r="H13" s="354">
        <f t="shared" si="3"/>
        <v>9.0654965000316973E-2</v>
      </c>
      <c r="I13" s="343">
        <f t="shared" si="0"/>
        <v>8.8902798679270784E-2</v>
      </c>
      <c r="J13" s="512">
        <f t="shared" si="4"/>
        <v>8785553.7046248782</v>
      </c>
    </row>
    <row r="14" spans="1:10">
      <c r="A14" s="409">
        <f>גירעון!A14</f>
        <v>4</v>
      </c>
      <c r="B14" s="504" t="str">
        <f>גירעון!B14</f>
        <v>חיפה</v>
      </c>
      <c r="C14" s="342">
        <f>גירעון!O14</f>
        <v>5.938643695664618E-2</v>
      </c>
      <c r="D14" s="505">
        <v>5</v>
      </c>
      <c r="E14" s="505">
        <v>8</v>
      </c>
      <c r="F14" s="342">
        <f t="shared" si="1"/>
        <v>0.625</v>
      </c>
      <c r="G14" s="353">
        <f t="shared" si="2"/>
        <v>1</v>
      </c>
      <c r="H14" s="354">
        <f t="shared" si="3"/>
        <v>6.0574165695779107E-2</v>
      </c>
      <c r="I14" s="343">
        <f t="shared" si="0"/>
        <v>5.9403396802346249E-2</v>
      </c>
      <c r="J14" s="512">
        <f t="shared" si="4"/>
        <v>5870363.3698524134</v>
      </c>
    </row>
    <row r="15" spans="1:10">
      <c r="A15" s="409">
        <f>גירעון!A15</f>
        <v>5</v>
      </c>
      <c r="B15" s="504" t="str">
        <f>גירעון!B15</f>
        <v>באר שבע</v>
      </c>
      <c r="C15" s="342">
        <f>גירעון!O15</f>
        <v>7.4839083787419144E-2</v>
      </c>
      <c r="D15" s="505">
        <v>3</v>
      </c>
      <c r="E15" s="505">
        <v>8</v>
      </c>
      <c r="F15" s="342">
        <f t="shared" si="1"/>
        <v>0.375</v>
      </c>
      <c r="G15" s="353">
        <f t="shared" si="2"/>
        <v>1</v>
      </c>
      <c r="H15" s="354">
        <f t="shared" si="3"/>
        <v>7.6335865463167535E-2</v>
      </c>
      <c r="I15" s="343">
        <f t="shared" si="0"/>
        <v>7.4860456669484723E-2</v>
      </c>
      <c r="J15" s="512">
        <f t="shared" si="4"/>
        <v>7397861.1718986696</v>
      </c>
    </row>
    <row r="16" spans="1:10">
      <c r="A16" s="409">
        <f>גירעון!A16</f>
        <v>6</v>
      </c>
      <c r="B16" s="504" t="str">
        <f>גירעון!B16</f>
        <v>גשר</v>
      </c>
      <c r="C16" s="342">
        <f>גירעון!O16</f>
        <v>5.9988796164876748E-2</v>
      </c>
      <c r="D16" s="505">
        <v>4</v>
      </c>
      <c r="E16" s="505">
        <v>12</v>
      </c>
      <c r="F16" s="342">
        <f t="shared" si="1"/>
        <v>0.33333333333333331</v>
      </c>
      <c r="G16" s="353">
        <f t="shared" si="2"/>
        <v>1</v>
      </c>
      <c r="H16" s="354">
        <f t="shared" si="3"/>
        <v>6.1188572088174284E-2</v>
      </c>
      <c r="I16" s="343">
        <f t="shared" si="0"/>
        <v>6.0005928035028036E-2</v>
      </c>
      <c r="J16" s="512">
        <f t="shared" si="4"/>
        <v>5929906.7203664612</v>
      </c>
    </row>
    <row r="17" spans="1:10">
      <c r="A17" s="409">
        <f>גירעון!A17</f>
        <v>7</v>
      </c>
      <c r="B17" s="504" t="str">
        <f>גירעון!B17</f>
        <v>החאן</v>
      </c>
      <c r="C17" s="342">
        <f>גירעון!O17</f>
        <v>7.3970252198645448E-2</v>
      </c>
      <c r="D17" s="505">
        <v>7</v>
      </c>
      <c r="E17" s="505">
        <v>20</v>
      </c>
      <c r="F17" s="342">
        <f t="shared" si="1"/>
        <v>0.35</v>
      </c>
      <c r="G17" s="353">
        <f t="shared" si="2"/>
        <v>1</v>
      </c>
      <c r="H17" s="354">
        <f t="shared" si="3"/>
        <v>7.5449657242618359E-2</v>
      </c>
      <c r="I17" s="343">
        <f t="shared" si="0"/>
        <v>7.3991376955879151E-2</v>
      </c>
      <c r="J17" s="512">
        <f t="shared" si="4"/>
        <v>7311976.9634045437</v>
      </c>
    </row>
    <row r="18" spans="1:10">
      <c r="A18" s="409">
        <f>גירעון!A18</f>
        <v>8</v>
      </c>
      <c r="B18" s="504" t="str">
        <f>גירעון!B18</f>
        <v>היידישפיל</v>
      </c>
      <c r="C18" s="342">
        <f>גירעון!O18</f>
        <v>5.2643599614672895E-2</v>
      </c>
      <c r="D18" s="505">
        <v>7</v>
      </c>
      <c r="E18" s="505">
        <v>15</v>
      </c>
      <c r="F18" s="342">
        <f t="shared" si="1"/>
        <v>0.46666666666666667</v>
      </c>
      <c r="G18" s="353">
        <f t="shared" si="2"/>
        <v>1</v>
      </c>
      <c r="H18" s="354">
        <f t="shared" si="3"/>
        <v>5.3696471606966355E-2</v>
      </c>
      <c r="I18" s="343">
        <f t="shared" si="0"/>
        <v>5.2658633810565347E-2</v>
      </c>
      <c r="J18" s="512">
        <f t="shared" si="4"/>
        <v>5203832.3003071956</v>
      </c>
    </row>
    <row r="19" spans="1:10">
      <c r="A19" s="409">
        <f>גירעון!A19</f>
        <v>9</v>
      </c>
      <c r="B19" s="504" t="str">
        <f>גירעון!B19</f>
        <v>תיאטרון אלמידאן</v>
      </c>
      <c r="C19" s="342">
        <f>גירעון!O19</f>
        <v>0</v>
      </c>
      <c r="D19" s="505">
        <v>0</v>
      </c>
      <c r="E19" s="505">
        <v>7</v>
      </c>
      <c r="F19" s="342">
        <f t="shared" si="1"/>
        <v>0</v>
      </c>
      <c r="G19" s="353">
        <f t="shared" si="2"/>
        <v>0</v>
      </c>
      <c r="H19" s="354">
        <f t="shared" si="3"/>
        <v>0</v>
      </c>
      <c r="I19" s="343">
        <f t="shared" si="0"/>
        <v>0</v>
      </c>
      <c r="J19" s="512">
        <f t="shared" si="4"/>
        <v>0</v>
      </c>
    </row>
    <row r="20" spans="1:10">
      <c r="A20" s="409">
        <f>גירעון!A20</f>
        <v>10</v>
      </c>
      <c r="B20" s="504" t="str">
        <f>גירעון!B20</f>
        <v>הזירה הבין תחומית</v>
      </c>
      <c r="C20" s="342">
        <f>גירעון!O20</f>
        <v>8.370472125014964E-3</v>
      </c>
      <c r="D20" s="505">
        <v>3</v>
      </c>
      <c r="E20" s="505">
        <v>10</v>
      </c>
      <c r="F20" s="342">
        <f t="shared" si="1"/>
        <v>0.3</v>
      </c>
      <c r="G20" s="353">
        <f t="shared" si="2"/>
        <v>1</v>
      </c>
      <c r="H20" s="354">
        <f t="shared" si="3"/>
        <v>8.5378815675152629E-3</v>
      </c>
      <c r="I20" s="343">
        <f t="shared" si="0"/>
        <v>8.372862602082658E-3</v>
      </c>
      <c r="J20" s="512">
        <f t="shared" si="4"/>
        <v>827423.15365595149</v>
      </c>
    </row>
    <row r="21" spans="1:10">
      <c r="A21" s="409">
        <f>גירעון!A21</f>
        <v>11</v>
      </c>
      <c r="B21" s="504" t="str">
        <f>גירעון!B21</f>
        <v>אספקלריא</v>
      </c>
      <c r="C21" s="342">
        <f>גירעון!O21</f>
        <v>1.5662323344098995E-2</v>
      </c>
      <c r="D21" s="505">
        <v>1</v>
      </c>
      <c r="E21" s="505">
        <v>3</v>
      </c>
      <c r="F21" s="342">
        <f t="shared" si="1"/>
        <v>0.33333333333333331</v>
      </c>
      <c r="G21" s="353">
        <f t="shared" si="2"/>
        <v>1</v>
      </c>
      <c r="H21" s="354">
        <f t="shared" si="3"/>
        <v>1.5975569810980975E-2</v>
      </c>
      <c r="I21" s="343">
        <f t="shared" si="0"/>
        <v>1.5666796260825996E-2</v>
      </c>
      <c r="J21" s="512">
        <f t="shared" si="4"/>
        <v>1548224.3750892906</v>
      </c>
    </row>
    <row r="22" spans="1:10">
      <c r="A22" s="409">
        <f>גירעון!A22</f>
        <v>12</v>
      </c>
      <c r="B22" s="504" t="str">
        <f>גירעון!B22</f>
        <v/>
      </c>
      <c r="C22" s="342" t="str">
        <f>גירעון!O22</f>
        <v/>
      </c>
      <c r="D22" s="505"/>
      <c r="E22" s="505"/>
      <c r="F22" s="342" t="str">
        <f t="shared" si="1"/>
        <v/>
      </c>
      <c r="G22" s="353" t="str">
        <f t="shared" si="2"/>
        <v/>
      </c>
      <c r="H22" s="354" t="str">
        <f t="shared" si="3"/>
        <v/>
      </c>
      <c r="I22" s="343" t="str">
        <f t="shared" si="0"/>
        <v/>
      </c>
      <c r="J22" s="512" t="str">
        <f t="shared" si="4"/>
        <v/>
      </c>
    </row>
    <row r="23" spans="1:10">
      <c r="A23" s="409">
        <f>גירעון!A23</f>
        <v>13</v>
      </c>
      <c r="B23" s="504" t="str">
        <f>גירעון!B23</f>
        <v>עכו</v>
      </c>
      <c r="C23" s="342">
        <f>גירעון!O23</f>
        <v>1.4560651027753939E-2</v>
      </c>
      <c r="D23" s="505">
        <v>0</v>
      </c>
      <c r="E23" s="505">
        <v>2</v>
      </c>
      <c r="F23" s="342">
        <f t="shared" si="1"/>
        <v>0</v>
      </c>
      <c r="G23" s="353">
        <f t="shared" si="2"/>
        <v>0</v>
      </c>
      <c r="H23" s="354">
        <f t="shared" si="3"/>
        <v>1.4560651027753939E-2</v>
      </c>
      <c r="I23" s="343">
        <f t="shared" si="0"/>
        <v>1.4279224827399134E-2</v>
      </c>
      <c r="J23" s="512">
        <f t="shared" si="4"/>
        <v>1411101.7700816095</v>
      </c>
    </row>
    <row r="24" spans="1:10">
      <c r="A24" s="409">
        <f>גירעון!A24</f>
        <v>14</v>
      </c>
      <c r="B24" s="504" t="str">
        <f>גירעון!B24</f>
        <v>הספרייה</v>
      </c>
      <c r="C24" s="342">
        <f>גירעון!O24</f>
        <v>8.5922600388351686E-3</v>
      </c>
      <c r="D24" s="505">
        <v>2</v>
      </c>
      <c r="E24" s="505">
        <v>5</v>
      </c>
      <c r="F24" s="342">
        <f t="shared" si="1"/>
        <v>0.4</v>
      </c>
      <c r="G24" s="353">
        <f t="shared" si="2"/>
        <v>1</v>
      </c>
      <c r="H24" s="354">
        <f t="shared" si="3"/>
        <v>8.7641052396118715E-3</v>
      </c>
      <c r="I24" s="343">
        <f t="shared" si="0"/>
        <v>8.5947138550925718E-3</v>
      </c>
      <c r="J24" s="512">
        <f t="shared" si="4"/>
        <v>849346.94150866591</v>
      </c>
    </row>
    <row r="25" spans="1:10">
      <c r="A25" s="409">
        <f>גירעון!A25</f>
        <v>15</v>
      </c>
      <c r="B25" s="504" t="str">
        <f>גירעון!B25</f>
        <v>יפו</v>
      </c>
      <c r="C25" s="342">
        <f>גירעון!O25</f>
        <v>8.8158497623070722E-3</v>
      </c>
      <c r="D25" s="505">
        <v>7</v>
      </c>
      <c r="E25" s="505">
        <v>13</v>
      </c>
      <c r="F25" s="342">
        <f t="shared" si="1"/>
        <v>0.53846153846153844</v>
      </c>
      <c r="G25" s="353">
        <f t="shared" si="2"/>
        <v>1</v>
      </c>
      <c r="H25" s="354">
        <f t="shared" si="3"/>
        <v>8.992166757553214E-3</v>
      </c>
      <c r="I25" s="343">
        <f t="shared" si="0"/>
        <v>8.8183674323230876E-3</v>
      </c>
      <c r="J25" s="512">
        <f t="shared" si="4"/>
        <v>871448.83867254364</v>
      </c>
    </row>
    <row r="26" spans="1:10">
      <c r="A26" s="409">
        <f>גירעון!A26</f>
        <v>16</v>
      </c>
      <c r="B26" s="504" t="str">
        <f>גירעון!B26</f>
        <v/>
      </c>
      <c r="C26" s="342" t="str">
        <f>גירעון!O26</f>
        <v/>
      </c>
      <c r="D26" s="505"/>
      <c r="E26" s="505"/>
      <c r="F26" s="342" t="str">
        <f t="shared" si="1"/>
        <v/>
      </c>
      <c r="G26" s="353" t="str">
        <f t="shared" si="2"/>
        <v/>
      </c>
      <c r="H26" s="354" t="str">
        <f t="shared" si="3"/>
        <v/>
      </c>
      <c r="I26" s="343" t="str">
        <f t="shared" si="0"/>
        <v/>
      </c>
      <c r="J26" s="512" t="str">
        <f t="shared" si="4"/>
        <v/>
      </c>
    </row>
    <row r="27" spans="1:10">
      <c r="A27" s="409">
        <f>גירעון!A27</f>
        <v>17</v>
      </c>
      <c r="B27" s="504" t="str">
        <f>גירעון!B27</f>
        <v>אינקובטור</v>
      </c>
      <c r="C27" s="342">
        <f>גירעון!O27</f>
        <v>1.762437659670189E-2</v>
      </c>
      <c r="D27" s="505">
        <v>1</v>
      </c>
      <c r="E27" s="505">
        <v>3</v>
      </c>
      <c r="F27" s="342">
        <f t="shared" si="1"/>
        <v>0.33333333333333331</v>
      </c>
      <c r="G27" s="353">
        <f t="shared" si="2"/>
        <v>1</v>
      </c>
      <c r="H27" s="354">
        <f t="shared" si="3"/>
        <v>1.7976864128635927E-2</v>
      </c>
      <c r="I27" s="343">
        <f t="shared" si="0"/>
        <v>1.7629409845419237E-2</v>
      </c>
      <c r="J27" s="512">
        <f t="shared" si="4"/>
        <v>1742173.8041851674</v>
      </c>
    </row>
    <row r="28" spans="1:10">
      <c r="A28" s="409">
        <f>גירעון!A28</f>
        <v>18</v>
      </c>
      <c r="B28" s="504" t="str">
        <f>גירעון!B28</f>
        <v>אורנה פורת</v>
      </c>
      <c r="C28" s="342">
        <f>גירעון!O28</f>
        <v>5.7754616185539676E-2</v>
      </c>
      <c r="D28" s="505">
        <v>3</v>
      </c>
      <c r="E28" s="505">
        <v>8</v>
      </c>
      <c r="F28" s="342">
        <f t="shared" si="1"/>
        <v>0.375</v>
      </c>
      <c r="G28" s="353">
        <f t="shared" si="2"/>
        <v>1</v>
      </c>
      <c r="H28" s="354">
        <f t="shared" si="3"/>
        <v>5.8909708509250473E-2</v>
      </c>
      <c r="I28" s="343">
        <f t="shared" si="0"/>
        <v>5.7771110008526368E-2</v>
      </c>
      <c r="J28" s="512">
        <f t="shared" si="4"/>
        <v>5709057.4998292429</v>
      </c>
    </row>
    <row r="29" spans="1:10">
      <c r="A29" s="409">
        <f>גירעון!A29</f>
        <v>19</v>
      </c>
      <c r="B29" s="504" t="str">
        <f>גירעון!B29</f>
        <v>ארצי לנוער</v>
      </c>
      <c r="C29" s="342">
        <f>גירעון!O29</f>
        <v>3.934733435987018E-2</v>
      </c>
      <c r="D29" s="505">
        <v>2</v>
      </c>
      <c r="E29" s="505">
        <v>5</v>
      </c>
      <c r="F29" s="342">
        <f t="shared" si="1"/>
        <v>0.4</v>
      </c>
      <c r="G29" s="353">
        <f t="shared" si="2"/>
        <v>1</v>
      </c>
      <c r="H29" s="354">
        <f t="shared" si="3"/>
        <v>4.0134281047067587E-2</v>
      </c>
      <c r="I29" s="343">
        <f t="shared" si="0"/>
        <v>3.9358571348543862E-2</v>
      </c>
      <c r="J29" s="512">
        <f t="shared" si="4"/>
        <v>3889493.3281843718</v>
      </c>
    </row>
    <row r="30" spans="1:10">
      <c r="A30" s="409">
        <f>גירעון!A30</f>
        <v>20</v>
      </c>
      <c r="B30" s="504" t="str">
        <f>גירעון!B30</f>
        <v>הקיבוץ</v>
      </c>
      <c r="C30" s="342">
        <f>גירעון!O30</f>
        <v>6.8681650380329994E-3</v>
      </c>
      <c r="D30" s="505">
        <v>2</v>
      </c>
      <c r="E30" s="505">
        <v>4</v>
      </c>
      <c r="F30" s="342">
        <f t="shared" si="1"/>
        <v>0.5</v>
      </c>
      <c r="G30" s="353">
        <f t="shared" si="2"/>
        <v>1</v>
      </c>
      <c r="H30" s="354">
        <f t="shared" si="3"/>
        <v>7.0055283387936594E-3</v>
      </c>
      <c r="I30" s="343">
        <f t="shared" si="0"/>
        <v>6.870126479487597E-3</v>
      </c>
      <c r="J30" s="512">
        <f t="shared" si="4"/>
        <v>678919.74200782052</v>
      </c>
    </row>
    <row r="31" spans="1:10">
      <c r="A31" s="409">
        <f>גירעון!A31</f>
        <v>21</v>
      </c>
      <c r="B31" s="504" t="str">
        <f>גירעון!B31</f>
        <v>הקרון</v>
      </c>
      <c r="C31" s="342">
        <f>גירעון!O31</f>
        <v>2.2350085482706256E-2</v>
      </c>
      <c r="D31" s="505">
        <v>5</v>
      </c>
      <c r="E31" s="505">
        <v>13</v>
      </c>
      <c r="F31" s="342">
        <f t="shared" si="1"/>
        <v>0.38461538461538464</v>
      </c>
      <c r="G31" s="353">
        <f t="shared" si="2"/>
        <v>1</v>
      </c>
      <c r="H31" s="354">
        <f t="shared" si="3"/>
        <v>2.2797087192360382E-2</v>
      </c>
      <c r="I31" s="343">
        <f t="shared" si="0"/>
        <v>2.2356468320616649E-2</v>
      </c>
      <c r="J31" s="512">
        <f t="shared" si="4"/>
        <v>2209311.2477270034</v>
      </c>
    </row>
    <row r="32" spans="1:10">
      <c r="A32" s="409">
        <f>גירעון!A32</f>
        <v>22</v>
      </c>
      <c r="B32" s="504" t="str">
        <f>גירעון!B32</f>
        <v>בית הגפן</v>
      </c>
      <c r="C32" s="342">
        <f>גירעון!O32</f>
        <v>1.2588215924894893E-2</v>
      </c>
      <c r="D32" s="505">
        <v>5</v>
      </c>
      <c r="E32" s="505">
        <v>12</v>
      </c>
      <c r="F32" s="342">
        <f t="shared" si="1"/>
        <v>0.41666666666666669</v>
      </c>
      <c r="G32" s="353">
        <f t="shared" si="2"/>
        <v>1</v>
      </c>
      <c r="H32" s="354">
        <f t="shared" si="3"/>
        <v>1.2839980243392791E-2</v>
      </c>
      <c r="I32" s="343">
        <f t="shared" si="0"/>
        <v>1.2591810924202246E-2</v>
      </c>
      <c r="J32" s="512">
        <f t="shared" si="4"/>
        <v>1244348.1280286782</v>
      </c>
    </row>
    <row r="33" spans="1:10">
      <c r="A33" s="409">
        <f>גירעון!A33</f>
        <v>23</v>
      </c>
      <c r="B33" s="504" t="str">
        <f>גירעון!B33</f>
        <v>הנפש</v>
      </c>
      <c r="C33" s="342">
        <f>גירעון!O33</f>
        <v>8.3801193187005921E-3</v>
      </c>
      <c r="D33" s="505">
        <v>3</v>
      </c>
      <c r="E33" s="505">
        <v>7</v>
      </c>
      <c r="F33" s="342">
        <f t="shared" si="1"/>
        <v>0.42857142857142855</v>
      </c>
      <c r="G33" s="353">
        <f t="shared" si="2"/>
        <v>1</v>
      </c>
      <c r="H33" s="354">
        <f t="shared" si="3"/>
        <v>8.547721705074604E-3</v>
      </c>
      <c r="I33" s="343">
        <f t="shared" si="0"/>
        <v>8.3825125508572382E-3</v>
      </c>
      <c r="J33" s="512">
        <f t="shared" si="4"/>
        <v>828376.78103850223</v>
      </c>
    </row>
    <row r="34" spans="1:10">
      <c r="A34" s="409">
        <f>גירעון!A34</f>
        <v>24</v>
      </c>
      <c r="B34" s="504" t="str">
        <f>גירעון!B34</f>
        <v>השעה</v>
      </c>
      <c r="C34" s="342">
        <f>גירעון!O34</f>
        <v>4.0956778954477358E-2</v>
      </c>
      <c r="D34" s="505">
        <v>2</v>
      </c>
      <c r="E34" s="505">
        <v>3</v>
      </c>
      <c r="F34" s="342">
        <f t="shared" si="1"/>
        <v>0.66666666666666663</v>
      </c>
      <c r="G34" s="353">
        <f t="shared" si="2"/>
        <v>1</v>
      </c>
      <c r="H34" s="354">
        <f t="shared" si="3"/>
        <v>4.1775914533566903E-2</v>
      </c>
      <c r="I34" s="343">
        <f t="shared" si="0"/>
        <v>4.0968475575575314E-2</v>
      </c>
      <c r="J34" s="512">
        <f t="shared" si="4"/>
        <v>4048587.3078566375</v>
      </c>
    </row>
    <row r="35" spans="1:10">
      <c r="A35" s="409">
        <f>גירעון!A35</f>
        <v>25</v>
      </c>
      <c r="B35" s="504" t="str">
        <f>גירעון!B35</f>
        <v>עדי</v>
      </c>
      <c r="C35" s="342">
        <f>גירעון!O35</f>
        <v>4.4042862518735926E-3</v>
      </c>
      <c r="D35" s="505">
        <v>2</v>
      </c>
      <c r="E35" s="505">
        <v>2</v>
      </c>
      <c r="F35" s="342">
        <f t="shared" si="1"/>
        <v>1</v>
      </c>
      <c r="G35" s="353">
        <f t="shared" si="2"/>
        <v>1</v>
      </c>
      <c r="H35" s="354">
        <f t="shared" si="3"/>
        <v>4.4923719769110644E-3</v>
      </c>
      <c r="I35" s="343">
        <f t="shared" si="0"/>
        <v>4.4055440477454889E-3</v>
      </c>
      <c r="J35" s="512">
        <f t="shared" si="4"/>
        <v>435364.73996946542</v>
      </c>
    </row>
    <row r="36" spans="1:10">
      <c r="A36" s="409">
        <f>גירעון!A36</f>
        <v>26</v>
      </c>
      <c r="B36" s="504" t="str">
        <f>גירעון!B36</f>
        <v>מדייטק</v>
      </c>
      <c r="C36" s="342">
        <f>גירעון!O36</f>
        <v>1.8402458419614742E-2</v>
      </c>
      <c r="D36" s="505">
        <v>2</v>
      </c>
      <c r="E36" s="505">
        <v>5</v>
      </c>
      <c r="F36" s="342">
        <f t="shared" si="1"/>
        <v>0.4</v>
      </c>
      <c r="G36" s="353">
        <f t="shared" si="2"/>
        <v>1</v>
      </c>
      <c r="H36" s="354">
        <f t="shared" si="3"/>
        <v>1.8770507588007038E-2</v>
      </c>
      <c r="I36" s="343">
        <f t="shared" si="0"/>
        <v>1.8407713876437762E-2</v>
      </c>
      <c r="J36" s="512">
        <f t="shared" si="4"/>
        <v>1819087.3768130406</v>
      </c>
    </row>
    <row r="37" spans="1:10">
      <c r="A37" s="409">
        <f>גירעון!A37</f>
        <v>27</v>
      </c>
      <c r="B37" s="504" t="str">
        <f>גירעון!B37</f>
        <v>חני</v>
      </c>
      <c r="C37" s="342">
        <f>גירעון!O37</f>
        <v>4.2337243169841407E-3</v>
      </c>
      <c r="D37" s="505">
        <v>3</v>
      </c>
      <c r="E37" s="505">
        <v>4</v>
      </c>
      <c r="F37" s="342">
        <f t="shared" ref="F37:F43" si="5">IF(B37="","",IFERROR(D37/E37,0))</f>
        <v>0.75</v>
      </c>
      <c r="G37" s="353">
        <f t="shared" ref="G37:G43" si="6">IF(B37="","",IFERROR(IF(F37&gt;=$C$5,1,0),"הזנה שגויה"))</f>
        <v>1</v>
      </c>
      <c r="H37" s="354">
        <f t="shared" ref="H37:H43" si="7">IF(B37="","",IFERROR(IF(G37=1,C37*(1+$C$6),C37),""))</f>
        <v>4.3183988033238235E-3</v>
      </c>
      <c r="I37" s="343">
        <f t="shared" ref="I37:I43" si="8">IF(B37="","",IFERROR(H37/SUMIF($H$11:$H$42,"&lt;&gt;#DIV/0!"),0))</f>
        <v>4.2349334030117314E-3</v>
      </c>
      <c r="J37" s="512">
        <f t="shared" ref="J37:J43" si="9">IFERROR(I37*$C$2,"")</f>
        <v>418504.65227642638</v>
      </c>
    </row>
    <row r="38" spans="1:10">
      <c r="A38" s="409">
        <f>גירעון!A38</f>
        <v>28</v>
      </c>
      <c r="B38" s="504" t="str">
        <f>גירעון!B38</f>
        <v xml:space="preserve">גשן </v>
      </c>
      <c r="C38" s="342">
        <f>גירעון!O38</f>
        <v>8.3996546519280665E-3</v>
      </c>
      <c r="D38" s="505">
        <v>2</v>
      </c>
      <c r="E38" s="505">
        <v>3</v>
      </c>
      <c r="F38" s="342">
        <f t="shared" si="5"/>
        <v>0.66666666666666663</v>
      </c>
      <c r="G38" s="353">
        <f t="shared" si="6"/>
        <v>1</v>
      </c>
      <c r="H38" s="354">
        <f t="shared" si="7"/>
        <v>8.5676477449666277E-3</v>
      </c>
      <c r="I38" s="343">
        <f t="shared" si="8"/>
        <v>8.402053463073017E-3</v>
      </c>
      <c r="J38" s="512">
        <f t="shared" si="9"/>
        <v>830307.85335860366</v>
      </c>
    </row>
    <row r="39" spans="1:10">
      <c r="A39" s="409">
        <f>גירעון!A39</f>
        <v>29</v>
      </c>
      <c r="B39" s="504" t="str">
        <f>גירעון!B39</f>
        <v>תיאטרון העברי</v>
      </c>
      <c r="C39" s="342">
        <f>גירעון!O39</f>
        <v>6.6647868796950388E-3</v>
      </c>
      <c r="D39" s="505">
        <v>5</v>
      </c>
      <c r="E39" s="505">
        <v>7</v>
      </c>
      <c r="F39" s="342">
        <f t="shared" si="5"/>
        <v>0.7142857142857143</v>
      </c>
      <c r="G39" s="353">
        <f t="shared" si="6"/>
        <v>1</v>
      </c>
      <c r="H39" s="354">
        <f t="shared" si="7"/>
        <v>6.79808261728894E-3</v>
      </c>
      <c r="I39" s="343">
        <f t="shared" si="8"/>
        <v>6.6666902395006791E-3</v>
      </c>
      <c r="J39" s="512">
        <f t="shared" si="9"/>
        <v>658815.76284828968</v>
      </c>
    </row>
    <row r="40" spans="1:10">
      <c r="A40" s="409">
        <f>גירעון!A40</f>
        <v>30</v>
      </c>
      <c r="B40" s="504" t="str">
        <f>גירעון!B40</f>
        <v>גליון ריק 2</v>
      </c>
      <c r="C40" s="342">
        <f>גירעון!O40</f>
        <v>0</v>
      </c>
      <c r="D40" s="505"/>
      <c r="E40" s="505"/>
      <c r="F40" s="342">
        <f t="shared" si="5"/>
        <v>0</v>
      </c>
      <c r="G40" s="353">
        <f t="shared" si="6"/>
        <v>0</v>
      </c>
      <c r="H40" s="354">
        <f t="shared" si="7"/>
        <v>0</v>
      </c>
      <c r="I40" s="343">
        <f t="shared" si="8"/>
        <v>0</v>
      </c>
      <c r="J40" s="512">
        <f t="shared" si="9"/>
        <v>0</v>
      </c>
    </row>
    <row r="41" spans="1:10">
      <c r="A41" s="409">
        <f>גירעון!A41</f>
        <v>31</v>
      </c>
      <c r="B41" s="504" t="str">
        <f>גירעון!B41</f>
        <v>גליון ריק 3</v>
      </c>
      <c r="C41" s="342">
        <f>גירעון!O41</f>
        <v>0</v>
      </c>
      <c r="D41" s="505"/>
      <c r="E41" s="505"/>
      <c r="F41" s="342">
        <f t="shared" si="5"/>
        <v>0</v>
      </c>
      <c r="G41" s="353">
        <f t="shared" si="6"/>
        <v>0</v>
      </c>
      <c r="H41" s="354">
        <f t="shared" si="7"/>
        <v>0</v>
      </c>
      <c r="I41" s="343">
        <f t="shared" si="8"/>
        <v>0</v>
      </c>
      <c r="J41" s="512">
        <f t="shared" si="9"/>
        <v>0</v>
      </c>
    </row>
    <row r="42" spans="1:10">
      <c r="A42" s="409">
        <f>גירעון!A42</f>
        <v>32</v>
      </c>
      <c r="B42" s="504" t="str">
        <f>גירעון!B42</f>
        <v/>
      </c>
      <c r="C42" s="342" t="str">
        <f>'הגנה (2)'!M62</f>
        <v/>
      </c>
      <c r="D42" s="505"/>
      <c r="E42" s="505"/>
      <c r="F42" s="342" t="str">
        <f t="shared" si="5"/>
        <v/>
      </c>
      <c r="G42" s="353" t="str">
        <f t="shared" si="6"/>
        <v/>
      </c>
      <c r="H42" s="354" t="str">
        <f t="shared" si="7"/>
        <v/>
      </c>
      <c r="I42" s="343" t="str">
        <f t="shared" si="8"/>
        <v/>
      </c>
      <c r="J42" s="512" t="str">
        <f t="shared" si="9"/>
        <v/>
      </c>
    </row>
    <row r="43" spans="1:10" ht="16.5" thickBot="1">
      <c r="A43" s="409">
        <f>גירעון!A43</f>
        <v>33</v>
      </c>
      <c r="B43" s="504" t="str">
        <f>גירעון!B43</f>
        <v/>
      </c>
      <c r="C43" s="513" t="str">
        <f>'הגנה (2)'!M63</f>
        <v/>
      </c>
      <c r="D43" s="514"/>
      <c r="E43" s="514"/>
      <c r="F43" s="513" t="str">
        <f t="shared" si="5"/>
        <v/>
      </c>
      <c r="G43" s="515" t="str">
        <f t="shared" si="6"/>
        <v/>
      </c>
      <c r="H43" s="516" t="str">
        <f t="shared" si="7"/>
        <v/>
      </c>
      <c r="I43" s="517" t="str">
        <f t="shared" si="8"/>
        <v/>
      </c>
      <c r="J43" s="518" t="str">
        <f t="shared" si="9"/>
        <v/>
      </c>
    </row>
  </sheetData>
  <sheetProtection password="CC01" sheet="1" objects="1" scenarios="1" formatColumns="0" formatRows="0"/>
  <mergeCells count="2">
    <mergeCell ref="B4:C4"/>
    <mergeCell ref="A9:J9"/>
  </mergeCells>
  <conditionalFormatting sqref="D1:F2 D3:E6">
    <cfRule type="containsBlanks" dxfId="12" priority="13">
      <formula>LEN(TRIM(D1))=0</formula>
    </cfRule>
  </conditionalFormatting>
  <conditionalFormatting sqref="F11:F43 C11:C43">
    <cfRule type="containsBlanks" dxfId="11" priority="12">
      <formula>LEN(TRIM(C11))=0</formula>
    </cfRule>
  </conditionalFormatting>
  <conditionalFormatting sqref="G11:G43">
    <cfRule type="containsBlanks" dxfId="10" priority="11">
      <formula>LEN(TRIM(G11))=0</formula>
    </cfRule>
  </conditionalFormatting>
  <conditionalFormatting sqref="G11:G43">
    <cfRule type="containsText" dxfId="9" priority="10" operator="containsText" text="הזנה שגויה">
      <formula>NOT(ISERROR(SEARCH("הזנה שגויה",G11)))</formula>
    </cfRule>
  </conditionalFormatting>
  <conditionalFormatting sqref="H11:H43">
    <cfRule type="containsBlanks" dxfId="8" priority="9">
      <formula>LEN(TRIM(H11))=0</formula>
    </cfRule>
  </conditionalFormatting>
  <conditionalFormatting sqref="I11:I43">
    <cfRule type="containsBlanks" dxfId="7" priority="8">
      <formula>LEN(TRIM(I11))=0</formula>
    </cfRule>
  </conditionalFormatting>
  <conditionalFormatting sqref="J11:J43">
    <cfRule type="containsBlanks" dxfId="6" priority="7">
      <formula>LEN(TRIM(J11))=0</formula>
    </cfRule>
  </conditionalFormatting>
  <conditionalFormatting sqref="A11:B43">
    <cfRule type="containsBlanks" dxfId="5" priority="6">
      <formula>LEN(TRIM(A11))=0</formula>
    </cfRule>
  </conditionalFormatting>
  <conditionalFormatting sqref="D40:E43">
    <cfRule type="expression" dxfId="4" priority="4">
      <formula>AND($C40="",D40&lt;&gt;"")</formula>
    </cfRule>
    <cfRule type="expression" dxfId="3" priority="5">
      <formula>$C40&lt;&gt;""</formula>
    </cfRule>
  </conditionalFormatting>
  <conditionalFormatting sqref="C1:C2">
    <cfRule type="containsBlanks" dxfId="2" priority="3">
      <formula>LEN(TRIM(C1))=0</formula>
    </cfRule>
  </conditionalFormatting>
  <conditionalFormatting sqref="D11:E39">
    <cfRule type="expression" dxfId="1" priority="1">
      <formula>AND($C11="",D11&lt;&gt;"")</formula>
    </cfRule>
    <cfRule type="expression" dxfId="0" priority="2">
      <formula>$C11&lt;&gt;""</formula>
    </cfRule>
  </conditionalFormatting>
  <pageMargins left="0.27559055118110237" right="0.19685039370078741" top="0.62992125984251968" bottom="0.47244094488188981" header="0.31496062992125984" footer="0.23622047244094491"/>
  <pageSetup paperSize="9" scale="51" orientation="landscape" r:id="rId1"/>
  <headerFooter alignWithMargins="0">
    <oddHeader>&amp;Lגרסא 3.0
נובמבר 2010&amp;C&amp;12מבחנים לחלוקת כספי תמיכות של משרד החינוך התרבות והספורט למוסדות ציבור לפי חוק יסודות התקציב, התשמ"ה  - 1985
&amp;Uתמיכה במוסדות תרבות בתחום הגופים הכליים</oddHeader>
    <oddFooter>&amp;L&amp;12א. חפץ ושות'
יעוץ כלכלי&amp;Cעמוד &amp;P מתוך &amp;N&amp;R&amp;A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indexed="44"/>
    <pageSetUpPr fitToPage="1"/>
  </sheetPr>
  <dimension ref="A1:M39"/>
  <sheetViews>
    <sheetView rightToLeft="1" view="pageBreakPreview" zoomScale="70" zoomScaleSheetLayoutView="70" workbookViewId="0">
      <selection sqref="A1:H37"/>
    </sheetView>
  </sheetViews>
  <sheetFormatPr defaultRowHeight="12.75"/>
  <cols>
    <col min="1" max="1" width="8.5703125" bestFit="1" customWidth="1"/>
    <col min="2" max="2" width="37.85546875" customWidth="1"/>
    <col min="3" max="3" width="13.85546875" bestFit="1" customWidth="1"/>
    <col min="4" max="4" width="21.85546875" customWidth="1"/>
    <col min="5" max="5" width="23.140625" bestFit="1" customWidth="1"/>
    <col min="6" max="6" width="24.85546875" customWidth="1"/>
    <col min="7" max="7" width="21.28515625" customWidth="1"/>
    <col min="8" max="8" width="15.42578125" customWidth="1"/>
    <col min="13" max="13" width="10" bestFit="1" customWidth="1"/>
  </cols>
  <sheetData>
    <row r="1" spans="1:13" ht="19.5" thickTop="1" thickBot="1">
      <c r="A1" s="59"/>
      <c r="B1" s="726" t="str">
        <f>פרמטרים!B1</f>
        <v>שנת התקציב</v>
      </c>
      <c r="C1" s="727"/>
      <c r="D1" s="150">
        <f>פרמטרים!D1</f>
        <v>2018</v>
      </c>
    </row>
    <row r="2" spans="1:13" ht="18.75" thickBot="1">
      <c r="A2" s="59"/>
      <c r="B2" s="577" t="str">
        <f>פרמטרים!B2</f>
        <v>תקציב</v>
      </c>
      <c r="C2" s="578"/>
      <c r="D2" s="151">
        <f>פרמטרים!D2</f>
        <v>98822015</v>
      </c>
      <c r="E2" s="59"/>
    </row>
    <row r="3" spans="1:13" ht="19.5" thickTop="1" thickBot="1">
      <c r="A3" s="723" t="s">
        <v>180</v>
      </c>
      <c r="B3" s="724"/>
      <c r="C3" s="724"/>
      <c r="D3" s="724"/>
      <c r="E3" s="725"/>
    </row>
    <row r="4" spans="1:13" ht="52.5" customHeight="1" thickTop="1" thickBot="1">
      <c r="A4" s="60" t="str">
        <f>סיווג!A12</f>
        <v>מספר סידורי</v>
      </c>
      <c r="B4" s="61" t="str">
        <f>סיווג!B12</f>
        <v>שם התיאטרון</v>
      </c>
      <c r="C4" s="61" t="s">
        <v>0</v>
      </c>
      <c r="D4" s="61" t="s">
        <v>137</v>
      </c>
      <c r="E4" s="62" t="s">
        <v>141</v>
      </c>
      <c r="F4" s="62" t="s">
        <v>219</v>
      </c>
      <c r="G4" s="62" t="s">
        <v>220</v>
      </c>
      <c r="H4" s="62" t="s">
        <v>322</v>
      </c>
      <c r="J4" s="526"/>
    </row>
    <row r="5" spans="1:13" ht="18.75" thickBot="1">
      <c r="A5" s="128">
        <f>סיווג!A14</f>
        <v>1</v>
      </c>
      <c r="B5" s="129" t="str">
        <f>IF(סיווג!B14=0,"",סיווג!B14)</f>
        <v>הבימה</v>
      </c>
      <c r="C5" s="130" t="str">
        <f>IF(סיווג!W14="","",סיווג!W14)</f>
        <v>גדול</v>
      </c>
      <c r="D5" s="135">
        <f>'הרכב חברי הוועדה'!I11</f>
        <v>0.17390217364642904</v>
      </c>
      <c r="E5" s="136">
        <f>'הרכב חברי הוועדה'!J11</f>
        <v>17185363.212620016</v>
      </c>
      <c r="F5" s="136">
        <f>ייצוב!D5</f>
        <v>16884479.543164562</v>
      </c>
      <c r="G5" s="136">
        <f t="shared" ref="G5:G37" si="0">IF(E5="","",E5-F5)</f>
        <v>300883.66945545375</v>
      </c>
      <c r="H5" s="519">
        <f>IF(B5="","",E5/F5-1)</f>
        <v>1.7820132902897967E-2</v>
      </c>
      <c r="M5" s="293"/>
    </row>
    <row r="6" spans="1:13" ht="18.75" thickBot="1">
      <c r="A6" s="131">
        <f>סיווג!A15</f>
        <v>2</v>
      </c>
      <c r="B6" s="132" t="str">
        <f>IF(סיווג!B15=0,"",סיווג!B15)</f>
        <v>הקאמרי</v>
      </c>
      <c r="C6" s="130" t="str">
        <f>IF(סיווג!W15="","",סיווג!W15)</f>
        <v>גדול</v>
      </c>
      <c r="D6" s="135">
        <f>'הרכב חברי הוועדה'!I12</f>
        <v>0.11249785034027616</v>
      </c>
      <c r="E6" s="136">
        <f>'הרכב חברי הוועדה'!J12</f>
        <v>11117264.253794527</v>
      </c>
      <c r="F6" s="136">
        <f>ייצוב!D6</f>
        <v>11272322.727075975</v>
      </c>
      <c r="G6" s="136">
        <f t="shared" si="0"/>
        <v>-155058.47328144871</v>
      </c>
      <c r="H6" s="519">
        <f t="shared" ref="H6:H37" si="1">IF(B6="","",E6/F6-1)</f>
        <v>-1.3755680797623016E-2</v>
      </c>
      <c r="M6" s="293"/>
    </row>
    <row r="7" spans="1:13" ht="18.75" thickBot="1">
      <c r="A7" s="131">
        <f>סיווג!A16</f>
        <v>3</v>
      </c>
      <c r="B7" s="132" t="str">
        <f>IF(סיווג!B16=0,"",סיווג!B16)</f>
        <v>בית לסין</v>
      </c>
      <c r="C7" s="130" t="str">
        <f>IF(סיווג!W16="","",סיווג!W16)</f>
        <v>גדול</v>
      </c>
      <c r="D7" s="135">
        <f>'הרכב חברי הוועדה'!I13</f>
        <v>8.8902798679270784E-2</v>
      </c>
      <c r="E7" s="136">
        <f>'הרכב חברי הוועדה'!J13</f>
        <v>8785553.7046248782</v>
      </c>
      <c r="F7" s="136">
        <f>ייצוב!D7</f>
        <v>9092660.215172112</v>
      </c>
      <c r="G7" s="136">
        <f t="shared" si="0"/>
        <v>-307106.51054723375</v>
      </c>
      <c r="H7" s="519">
        <f t="shared" si="1"/>
        <v>-3.377521025527741E-2</v>
      </c>
      <c r="M7" s="293"/>
    </row>
    <row r="8" spans="1:13" ht="18.75" thickBot="1">
      <c r="A8" s="131">
        <f>סיווג!A17</f>
        <v>4</v>
      </c>
      <c r="B8" s="132" t="str">
        <f>IF(סיווג!B17=0,"",סיווג!B17)</f>
        <v>חיפה</v>
      </c>
      <c r="C8" s="130" t="str">
        <f>IF(סיווג!W17="","",סיווג!W17)</f>
        <v>בינוני</v>
      </c>
      <c r="D8" s="135">
        <f>'הרכב חברי הוועדה'!I14</f>
        <v>5.9403396802346249E-2</v>
      </c>
      <c r="E8" s="136">
        <f>'הרכב חברי הוועדה'!J14</f>
        <v>5870363.3698524134</v>
      </c>
      <c r="F8" s="136">
        <f>ייצוב!D8</f>
        <v>5523829.7419604603</v>
      </c>
      <c r="G8" s="136">
        <f t="shared" si="0"/>
        <v>346533.6278919531</v>
      </c>
      <c r="H8" s="519">
        <f t="shared" si="1"/>
        <v>6.2734306464877543E-2</v>
      </c>
      <c r="M8" s="293"/>
    </row>
    <row r="9" spans="1:13" ht="18.75" thickBot="1">
      <c r="A9" s="131">
        <f>סיווג!A18</f>
        <v>5</v>
      </c>
      <c r="B9" s="132" t="str">
        <f>IF(סיווג!B18=0,"",סיווג!B18)</f>
        <v>באר שבע</v>
      </c>
      <c r="C9" s="130" t="str">
        <f>IF(סיווג!W18="","",סיווג!W18)</f>
        <v>בינוני</v>
      </c>
      <c r="D9" s="135">
        <f>'הרכב חברי הוועדה'!I15</f>
        <v>7.4860456669484723E-2</v>
      </c>
      <c r="E9" s="136">
        <f>'הרכב חברי הוועדה'!J15</f>
        <v>7397861.1718986696</v>
      </c>
      <c r="F9" s="136">
        <f>ייצוב!D9</f>
        <v>7357166.085402376</v>
      </c>
      <c r="G9" s="136">
        <f t="shared" si="0"/>
        <v>40695.086496293545</v>
      </c>
      <c r="H9" s="519">
        <f t="shared" si="1"/>
        <v>5.5313535162728744E-3</v>
      </c>
      <c r="M9" s="293"/>
    </row>
    <row r="10" spans="1:13" ht="18.75" thickBot="1">
      <c r="A10" s="131">
        <f>סיווג!A19</f>
        <v>6</v>
      </c>
      <c r="B10" s="132" t="str">
        <f>IF(סיווג!B19=0,"",סיווג!B19)</f>
        <v>גשר</v>
      </c>
      <c r="C10" s="130" t="str">
        <f>IF(סיווג!W19="","",סיווג!W19)</f>
        <v>בינוני</v>
      </c>
      <c r="D10" s="135">
        <f>'הרכב חברי הוועדה'!I16</f>
        <v>6.0005928035028036E-2</v>
      </c>
      <c r="E10" s="136">
        <f>'הרכב חברי הוועדה'!J16</f>
        <v>5929906.7203664612</v>
      </c>
      <c r="F10" s="136">
        <f>ייצוב!D10</f>
        <v>5492520.290235661</v>
      </c>
      <c r="G10" s="136">
        <f t="shared" si="0"/>
        <v>437386.43013080023</v>
      </c>
      <c r="H10" s="519">
        <f t="shared" si="1"/>
        <v>7.9633102295200375E-2</v>
      </c>
      <c r="M10" s="293"/>
    </row>
    <row r="11" spans="1:13" ht="18.75" thickBot="1">
      <c r="A11" s="131">
        <f>סיווג!A20</f>
        <v>7</v>
      </c>
      <c r="B11" s="132" t="str">
        <f>IF(סיווג!B20=0,"",סיווג!B20)</f>
        <v>החאן</v>
      </c>
      <c r="C11" s="130" t="str">
        <f>IF(סיווג!W20="","",סיווג!W20)</f>
        <v>בינוני</v>
      </c>
      <c r="D11" s="135">
        <f>'הרכב חברי הוועדה'!I17</f>
        <v>7.3991376955879151E-2</v>
      </c>
      <c r="E11" s="136">
        <f>'הרכב חברי הוועדה'!J17</f>
        <v>7311976.9634045437</v>
      </c>
      <c r="F11" s="136">
        <f>ייצוב!D11</f>
        <v>7070262.0153425876</v>
      </c>
      <c r="G11" s="136">
        <f t="shared" si="0"/>
        <v>241714.94806195609</v>
      </c>
      <c r="H11" s="519">
        <f t="shared" si="1"/>
        <v>3.4187551683011241E-2</v>
      </c>
      <c r="M11" s="293"/>
    </row>
    <row r="12" spans="1:13" ht="18.75" thickBot="1">
      <c r="A12" s="131">
        <f>סיווג!A21</f>
        <v>8</v>
      </c>
      <c r="B12" s="132" t="str">
        <f>IF(סיווג!B21=0,"",סיווג!B21)</f>
        <v>היידישפיל</v>
      </c>
      <c r="C12" s="130" t="str">
        <f>IF(סיווג!W21="","",סיווג!W21)</f>
        <v>בינוני</v>
      </c>
      <c r="D12" s="135">
        <f>'הרכב חברי הוועדה'!I18</f>
        <v>5.2658633810565347E-2</v>
      </c>
      <c r="E12" s="136">
        <f>'הרכב חברי הוועדה'!J18</f>
        <v>5203832.3003071956</v>
      </c>
      <c r="F12" s="136">
        <f>ייצוב!D12</f>
        <v>5155776.7796721673</v>
      </c>
      <c r="G12" s="136">
        <f t="shared" si="0"/>
        <v>48055.52063502837</v>
      </c>
      <c r="H12" s="519">
        <f t="shared" si="1"/>
        <v>9.3207139658368909E-3</v>
      </c>
      <c r="M12" s="293"/>
    </row>
    <row r="13" spans="1:13" ht="18.75" thickBot="1">
      <c r="A13" s="131">
        <f>סיווג!A22</f>
        <v>9</v>
      </c>
      <c r="B13" s="132" t="str">
        <f>IF(סיווג!B22=0,"",סיווג!B22)</f>
        <v>תיאטרון אלמידאן</v>
      </c>
      <c r="C13" s="130" t="str">
        <f>IF(סיווג!W22="","",סיווג!W22)</f>
        <v>ללא סיווג</v>
      </c>
      <c r="D13" s="135">
        <f>'הרכב חברי הוועדה'!I19</f>
        <v>0</v>
      </c>
      <c r="E13" s="136">
        <f>'הרכב חברי הוועדה'!J19</f>
        <v>0</v>
      </c>
      <c r="F13" s="136">
        <f>ייצוב!D13</f>
        <v>861664.39563074871</v>
      </c>
      <c r="G13" s="136">
        <f t="shared" si="0"/>
        <v>-861664.39563074871</v>
      </c>
      <c r="H13" s="519">
        <f t="shared" si="1"/>
        <v>-1</v>
      </c>
      <c r="M13" s="293"/>
    </row>
    <row r="14" spans="1:13" ht="18.75" thickBot="1">
      <c r="A14" s="131">
        <f>סיווג!A23</f>
        <v>10</v>
      </c>
      <c r="B14" s="132" t="str">
        <f>IF(סיווג!B23=0,"",סיווג!B23)</f>
        <v>הזירה הבין תחומית</v>
      </c>
      <c r="C14" s="130" t="str">
        <f>IF(סיווג!W23="","",סיווג!W23)</f>
        <v>קטן</v>
      </c>
      <c r="D14" s="135">
        <f>'הרכב חברי הוועדה'!I20</f>
        <v>8.372862602082658E-3</v>
      </c>
      <c r="E14" s="136">
        <f>'הרכב חברי הוועדה'!J20</f>
        <v>827423.15365595149</v>
      </c>
      <c r="F14" s="136">
        <f>ייצוב!D14</f>
        <v>836872.52524402074</v>
      </c>
      <c r="G14" s="136">
        <f t="shared" si="0"/>
        <v>-9449.3715880692471</v>
      </c>
      <c r="H14" s="519">
        <f t="shared" si="1"/>
        <v>-1.1291291448854657E-2</v>
      </c>
      <c r="M14" s="293"/>
    </row>
    <row r="15" spans="1:13" ht="18.75" thickBot="1">
      <c r="A15" s="131">
        <f>סיווג!A24</f>
        <v>11</v>
      </c>
      <c r="B15" s="132" t="str">
        <f>IF(סיווג!B24=0,"",סיווג!B24)</f>
        <v>אספקלריא</v>
      </c>
      <c r="C15" s="130" t="str">
        <f>IF(סיווג!W24="","",סיווג!W24)</f>
        <v>קטן</v>
      </c>
      <c r="D15" s="135">
        <f>'הרכב חברי הוועדה'!I21</f>
        <v>1.5666796260825996E-2</v>
      </c>
      <c r="E15" s="136">
        <f>'הרכב חברי הוועדה'!J21</f>
        <v>1548224.3750892906</v>
      </c>
      <c r="F15" s="136">
        <f>ייצוב!D15</f>
        <v>1405241.6027017485</v>
      </c>
      <c r="G15" s="136">
        <f t="shared" si="0"/>
        <v>142982.77238754206</v>
      </c>
      <c r="H15" s="519">
        <f t="shared" si="1"/>
        <v>0.101749601002874</v>
      </c>
      <c r="M15" s="293"/>
    </row>
    <row r="16" spans="1:13" ht="18.75" thickBot="1">
      <c r="A16" s="131">
        <f>סיווג!A25</f>
        <v>12</v>
      </c>
      <c r="B16" s="132" t="str">
        <f>IF(סיווג!B25=0,"",סיווג!B25)</f>
        <v/>
      </c>
      <c r="C16" s="130" t="str">
        <f>IF(סיווג!W25="","",סיווג!W25)</f>
        <v/>
      </c>
      <c r="D16" s="135" t="str">
        <f>'הרכב חברי הוועדה'!I22</f>
        <v/>
      </c>
      <c r="E16" s="136" t="str">
        <f>'הרכב חברי הוועדה'!J22</f>
        <v/>
      </c>
      <c r="F16" s="136" t="str">
        <f>ייצוב!D16</f>
        <v/>
      </c>
      <c r="G16" s="136" t="str">
        <f t="shared" si="0"/>
        <v/>
      </c>
      <c r="H16" s="519" t="str">
        <f t="shared" si="1"/>
        <v/>
      </c>
      <c r="M16" s="293"/>
    </row>
    <row r="17" spans="1:13" ht="18.75" thickBot="1">
      <c r="A17" s="131">
        <f>סיווג!A26</f>
        <v>13</v>
      </c>
      <c r="B17" s="132" t="str">
        <f>IF(סיווג!B26=0,"",סיווג!B26)</f>
        <v>עכו</v>
      </c>
      <c r="C17" s="130" t="str">
        <f>IF(סיווג!W26="","",סיווג!W26)</f>
        <v>קטן</v>
      </c>
      <c r="D17" s="135">
        <f>'הרכב חברי הוועדה'!I23</f>
        <v>1.4279224827399134E-2</v>
      </c>
      <c r="E17" s="136">
        <f>'הרכב חברי הוועדה'!J23</f>
        <v>1411101.7700816095</v>
      </c>
      <c r="F17" s="136">
        <f>ייצוב!D17</f>
        <v>1369419.8083819037</v>
      </c>
      <c r="G17" s="136">
        <f t="shared" si="0"/>
        <v>41681.961699705804</v>
      </c>
      <c r="H17" s="519">
        <f t="shared" si="1"/>
        <v>3.0437679844106391E-2</v>
      </c>
      <c r="M17" s="293"/>
    </row>
    <row r="18" spans="1:13" ht="18.75" thickBot="1">
      <c r="A18" s="131">
        <f>סיווג!A27</f>
        <v>14</v>
      </c>
      <c r="B18" s="132" t="str">
        <f>IF(סיווג!B27=0,"",סיווג!B27)</f>
        <v>הספרייה</v>
      </c>
      <c r="C18" s="130" t="str">
        <f>IF(סיווג!W27="","",סיווג!W27)</f>
        <v>קטן</v>
      </c>
      <c r="D18" s="135">
        <f>'הרכב חברי הוועדה'!I24</f>
        <v>8.5947138550925718E-3</v>
      </c>
      <c r="E18" s="136">
        <f>'הרכב חברי הוועדה'!J24</f>
        <v>849346.94150866591</v>
      </c>
      <c r="F18" s="136">
        <f>ייצוב!D18</f>
        <v>796540.22340308921</v>
      </c>
      <c r="G18" s="136">
        <f t="shared" si="0"/>
        <v>52806.7181055767</v>
      </c>
      <c r="H18" s="519">
        <f t="shared" si="1"/>
        <v>6.6295105449877489E-2</v>
      </c>
      <c r="M18" s="293"/>
    </row>
    <row r="19" spans="1:13" ht="18.75" thickBot="1">
      <c r="A19" s="131">
        <f>סיווג!A28</f>
        <v>15</v>
      </c>
      <c r="B19" s="132" t="str">
        <f>IF(סיווג!B28=0,"",סיווג!B28)</f>
        <v>יפו</v>
      </c>
      <c r="C19" s="130" t="str">
        <f>IF(סיווג!W28="","",סיווג!W28)</f>
        <v>קטן</v>
      </c>
      <c r="D19" s="135">
        <f>'הרכב חברי הוועדה'!I25</f>
        <v>8.8183674323230876E-3</v>
      </c>
      <c r="E19" s="136">
        <f>'הרכב חברי הוועדה'!J25</f>
        <v>871448.83867254364</v>
      </c>
      <c r="F19" s="136">
        <f>ייצוב!D19</f>
        <v>875851.73140472872</v>
      </c>
      <c r="G19" s="136">
        <f t="shared" si="0"/>
        <v>-4402.8927321850788</v>
      </c>
      <c r="H19" s="519">
        <f t="shared" si="1"/>
        <v>-5.0269841050876174E-3</v>
      </c>
      <c r="M19" s="293"/>
    </row>
    <row r="20" spans="1:13" ht="18.75" thickBot="1">
      <c r="A20" s="131">
        <f>סיווג!A29</f>
        <v>16</v>
      </c>
      <c r="B20" s="132" t="str">
        <f>IF(סיווג!B29=0,"",סיווג!B29)</f>
        <v/>
      </c>
      <c r="C20" s="130" t="str">
        <f>IF(סיווג!W29="","",סיווג!W29)</f>
        <v/>
      </c>
      <c r="D20" s="135" t="str">
        <f>'הרכב חברי הוועדה'!I26</f>
        <v/>
      </c>
      <c r="E20" s="136" t="str">
        <f>'הרכב חברי הוועדה'!J26</f>
        <v/>
      </c>
      <c r="F20" s="136" t="str">
        <f>ייצוב!D20</f>
        <v/>
      </c>
      <c r="G20" s="136" t="str">
        <f t="shared" si="0"/>
        <v/>
      </c>
      <c r="H20" s="519" t="str">
        <f t="shared" si="1"/>
        <v/>
      </c>
      <c r="M20" s="293"/>
    </row>
    <row r="21" spans="1:13" ht="18.75" thickBot="1">
      <c r="A21" s="131">
        <f>סיווג!A30</f>
        <v>17</v>
      </c>
      <c r="B21" s="132" t="str">
        <f>IF(סיווג!B30=0,"",סיווג!B30)</f>
        <v>אינקובטור</v>
      </c>
      <c r="C21" s="130" t="str">
        <f>IF(סיווג!W30="","",סיווג!W30)</f>
        <v>קטן</v>
      </c>
      <c r="D21" s="135">
        <f>'הרכב חברי הוועדה'!I27</f>
        <v>1.7629409845419237E-2</v>
      </c>
      <c r="E21" s="136">
        <f>'הרכב חברי הוועדה'!J27</f>
        <v>1742173.8041851674</v>
      </c>
      <c r="F21" s="136">
        <f>ייצוב!D21</f>
        <v>1662459.5863330963</v>
      </c>
      <c r="G21" s="136">
        <f t="shared" si="0"/>
        <v>79714.21785207116</v>
      </c>
      <c r="H21" s="519">
        <f t="shared" si="1"/>
        <v>4.7949567320248354E-2</v>
      </c>
      <c r="M21" s="293"/>
    </row>
    <row r="22" spans="1:13" ht="18.75" thickBot="1">
      <c r="A22" s="131">
        <f>סיווג!A31</f>
        <v>18</v>
      </c>
      <c r="B22" s="132" t="str">
        <f>IF(סיווג!B31=0,"",סיווג!B31)</f>
        <v>אורנה פורת</v>
      </c>
      <c r="C22" s="130" t="str">
        <f>IF(סיווג!W31="","",סיווג!W31)</f>
        <v>ילדים גדול</v>
      </c>
      <c r="D22" s="135">
        <f>'הרכב חברי הוועדה'!I28</f>
        <v>5.7771110008526368E-2</v>
      </c>
      <c r="E22" s="136">
        <f>'הרכב חברי הוועדה'!J28</f>
        <v>5709057.4998292429</v>
      </c>
      <c r="F22" s="136">
        <f>ייצוב!D22</f>
        <v>5507801.801832417</v>
      </c>
      <c r="G22" s="136">
        <f t="shared" si="0"/>
        <v>201255.69799682591</v>
      </c>
      <c r="H22" s="519">
        <f t="shared" si="1"/>
        <v>3.6540112596257446E-2</v>
      </c>
      <c r="M22" s="293"/>
    </row>
    <row r="23" spans="1:13" ht="18.75" thickBot="1">
      <c r="A23" s="131">
        <f>סיווג!A32</f>
        <v>19</v>
      </c>
      <c r="B23" s="132" t="str">
        <f>IF(סיווג!B32=0,"",סיווג!B32)</f>
        <v>ארצי לנוער</v>
      </c>
      <c r="C23" s="130" t="str">
        <f>IF(סיווג!W32="","",סיווג!W32)</f>
        <v>ילדים גדול</v>
      </c>
      <c r="D23" s="135">
        <f>'הרכב חברי הוועדה'!I29</f>
        <v>3.9358571348543862E-2</v>
      </c>
      <c r="E23" s="136">
        <f>'הרכב חברי הוועדה'!J29</f>
        <v>3889493.3281843718</v>
      </c>
      <c r="F23" s="136">
        <f>ייצוב!D23</f>
        <v>3743611.5406101155</v>
      </c>
      <c r="G23" s="136">
        <f t="shared" si="0"/>
        <v>145881.7875742563</v>
      </c>
      <c r="H23" s="519">
        <f t="shared" si="1"/>
        <v>3.8968195816193374E-2</v>
      </c>
      <c r="M23" s="293"/>
    </row>
    <row r="24" spans="1:13" ht="18.75" thickBot="1">
      <c r="A24" s="131">
        <f>סיווג!A33</f>
        <v>20</v>
      </c>
      <c r="B24" s="132" t="str">
        <f>IF(סיווג!B33=0,"",סיווג!B33)</f>
        <v>הקיבוץ</v>
      </c>
      <c r="C24" s="130" t="str">
        <f>IF(סיווג!W33="","",סיווג!W33)</f>
        <v>ילדים קטן</v>
      </c>
      <c r="D24" s="135">
        <f>'הרכב חברי הוועדה'!I30</f>
        <v>6.870126479487597E-3</v>
      </c>
      <c r="E24" s="136">
        <f>'הרכב חברי הוועדה'!J30</f>
        <v>678919.74200782052</v>
      </c>
      <c r="F24" s="136">
        <f>ייצוב!D24</f>
        <v>673841.08828729636</v>
      </c>
      <c r="G24" s="136">
        <f t="shared" si="0"/>
        <v>5078.6537205241621</v>
      </c>
      <c r="H24" s="519">
        <f t="shared" si="1"/>
        <v>7.5368715395978114E-3</v>
      </c>
      <c r="M24" s="293"/>
    </row>
    <row r="25" spans="1:13" ht="18.75" thickBot="1">
      <c r="A25" s="131">
        <f>סיווג!A34</f>
        <v>21</v>
      </c>
      <c r="B25" s="132" t="str">
        <f>IF(סיווג!B34=0,"",סיווג!B34)</f>
        <v>הקרון</v>
      </c>
      <c r="C25" s="130" t="str">
        <f>IF(סיווג!W34="","",סיווג!W34)</f>
        <v>ילדים קטן</v>
      </c>
      <c r="D25" s="135">
        <f>'הרכב חברי הוועדה'!I31</f>
        <v>2.2356468320616649E-2</v>
      </c>
      <c r="E25" s="136">
        <f>'הרכב חברי הוועדה'!J31</f>
        <v>2209311.2477270034</v>
      </c>
      <c r="F25" s="136">
        <f>ייצוב!D25</f>
        <v>2009589.7285658501</v>
      </c>
      <c r="G25" s="136">
        <f t="shared" si="0"/>
        <v>199721.51916115335</v>
      </c>
      <c r="H25" s="519">
        <f t="shared" si="1"/>
        <v>9.9384225706450557E-2</v>
      </c>
      <c r="M25" s="293"/>
    </row>
    <row r="26" spans="1:13" ht="18.75" thickBot="1">
      <c r="A26" s="131">
        <f>סיווג!A35</f>
        <v>22</v>
      </c>
      <c r="B26" s="132" t="str">
        <f>IF(סיווג!B35=0,"",סיווג!B35)</f>
        <v>בית הגפן</v>
      </c>
      <c r="C26" s="130" t="str">
        <f>IF(סיווג!W35="","",סיווג!W35)</f>
        <v>ילדים קטן</v>
      </c>
      <c r="D26" s="135">
        <f>'הרכב חברי הוועדה'!I32</f>
        <v>1.2591810924202246E-2</v>
      </c>
      <c r="E26" s="136">
        <f>'הרכב חברי הוועדה'!J32</f>
        <v>1244348.1280286782</v>
      </c>
      <c r="F26" s="136">
        <f>ייצוב!D26</f>
        <v>1207442.2710694943</v>
      </c>
      <c r="G26" s="136">
        <f t="shared" si="0"/>
        <v>36905.856959183933</v>
      </c>
      <c r="H26" s="519">
        <f t="shared" si="1"/>
        <v>3.0565317981202211E-2</v>
      </c>
      <c r="M26" s="293"/>
    </row>
    <row r="27" spans="1:13" ht="18.75" thickBot="1">
      <c r="A27" s="131">
        <f>סיווג!A36</f>
        <v>23</v>
      </c>
      <c r="B27" s="132" t="str">
        <f>IF(סיווג!B36=0,"",סיווג!B36)</f>
        <v>הנפש</v>
      </c>
      <c r="C27" s="130" t="str">
        <f>IF(סיווג!W36="","",סיווג!W36)</f>
        <v>ילדים קטן</v>
      </c>
      <c r="D27" s="135">
        <f>'הרכב חברי הוועדה'!I33</f>
        <v>8.3825125508572382E-3</v>
      </c>
      <c r="E27" s="136">
        <f>'הרכב חברי הוועדה'!J33</f>
        <v>828376.78103850223</v>
      </c>
      <c r="F27" s="136">
        <f>ייצוב!D27</f>
        <v>784575.85018240102</v>
      </c>
      <c r="G27" s="136">
        <f t="shared" si="0"/>
        <v>43800.930856101215</v>
      </c>
      <c r="H27" s="519">
        <f t="shared" si="1"/>
        <v>5.5827528779936575E-2</v>
      </c>
      <c r="M27" s="293"/>
    </row>
    <row r="28" spans="1:13" ht="18.75" thickBot="1">
      <c r="A28" s="131">
        <f>סיווג!A37</f>
        <v>24</v>
      </c>
      <c r="B28" s="132" t="str">
        <f>IF(סיווג!B37=0,"",סיווג!B37)</f>
        <v>השעה</v>
      </c>
      <c r="C28" s="130" t="str">
        <f>IF(סיווג!W37="","",סיווג!W37)</f>
        <v>ילדים גדול</v>
      </c>
      <c r="D28" s="135">
        <f>'הרכב חברי הוועדה'!I34</f>
        <v>4.0968475575575314E-2</v>
      </c>
      <c r="E28" s="136">
        <f>'הרכב חברי הוועדה'!J34</f>
        <v>4048587.3078566375</v>
      </c>
      <c r="F28" s="136">
        <f>ייצוב!D28</f>
        <v>3195755.1973073515</v>
      </c>
      <c r="G28" s="136">
        <f t="shared" si="0"/>
        <v>852832.11054928601</v>
      </c>
      <c r="H28" s="519">
        <f t="shared" si="1"/>
        <v>0.26686402990687674</v>
      </c>
      <c r="M28" s="293"/>
    </row>
    <row r="29" spans="1:13" ht="18.75" thickBot="1">
      <c r="A29" s="131">
        <f>סיווג!A38</f>
        <v>25</v>
      </c>
      <c r="B29" s="132" t="str">
        <f>IF(סיווג!B38=0,"",סיווג!B38)</f>
        <v>עדי</v>
      </c>
      <c r="C29" s="130" t="str">
        <f>IF(סיווג!W38="","",סיווג!W38)</f>
        <v>ילדים קטן</v>
      </c>
      <c r="D29" s="135">
        <f>'הרכב חברי הוועדה'!I35</f>
        <v>4.4055440477454889E-3</v>
      </c>
      <c r="E29" s="136">
        <f>'הרכב חברי הוועדה'!J35</f>
        <v>435364.73996946542</v>
      </c>
      <c r="F29" s="136">
        <f>ייצוב!D29</f>
        <v>479774.58904683229</v>
      </c>
      <c r="G29" s="136">
        <f t="shared" si="0"/>
        <v>-44409.849077366875</v>
      </c>
      <c r="H29" s="519">
        <f t="shared" si="1"/>
        <v>-9.2563987529218461E-2</v>
      </c>
      <c r="M29" s="293"/>
    </row>
    <row r="30" spans="1:13" ht="18.75" thickBot="1">
      <c r="A30" s="131">
        <f>סיווג!A39</f>
        <v>26</v>
      </c>
      <c r="B30" s="132" t="str">
        <f>IF(סיווג!B39=0,"",סיווג!B39)</f>
        <v>מדייטק</v>
      </c>
      <c r="C30" s="130" t="str">
        <f>IF(סיווג!W39="","",סיווג!W39)</f>
        <v>ילדים בינוני</v>
      </c>
      <c r="D30" s="135">
        <f>'הרכב חברי הוועדה'!I36</f>
        <v>1.8407713876437762E-2</v>
      </c>
      <c r="E30" s="136">
        <f>'הרכב חברי הוועדה'!J36</f>
        <v>1819087.3768130406</v>
      </c>
      <c r="F30" s="136">
        <f>ייצוב!D30</f>
        <v>1737732.4297693174</v>
      </c>
      <c r="G30" s="136">
        <f t="shared" si="0"/>
        <v>81354.947043723194</v>
      </c>
      <c r="H30" s="519">
        <f t="shared" si="1"/>
        <v>4.6816728312150557E-2</v>
      </c>
      <c r="M30" s="293"/>
    </row>
    <row r="31" spans="1:13" ht="18.75" thickBot="1">
      <c r="A31" s="131">
        <f>סיווג!A40</f>
        <v>27</v>
      </c>
      <c r="B31" s="132" t="str">
        <f>IF(סיווג!B40=0,"",סיווג!B40)</f>
        <v>חני</v>
      </c>
      <c r="C31" s="130" t="str">
        <f>IF(סיווג!W40="","",סיווג!W40)</f>
        <v>ילדים קטן</v>
      </c>
      <c r="D31" s="135">
        <f>'הרכב חברי הוועדה'!I37</f>
        <v>4.2349334030117314E-3</v>
      </c>
      <c r="E31" s="136">
        <f>'הרכב חברי הוועדה'!J37</f>
        <v>418504.65227642638</v>
      </c>
      <c r="F31" s="136">
        <f>ייצוב!D31</f>
        <v>432428.91583493038</v>
      </c>
      <c r="G31" s="136">
        <f t="shared" si="0"/>
        <v>-13924.263558503997</v>
      </c>
      <c r="H31" s="519">
        <f t="shared" si="1"/>
        <v>-3.2200121334668652E-2</v>
      </c>
      <c r="M31" s="293"/>
    </row>
    <row r="32" spans="1:13" ht="18.75" thickBot="1">
      <c r="A32" s="131">
        <f>סיווג!A41</f>
        <v>28</v>
      </c>
      <c r="B32" s="132" t="str">
        <f>IF(סיווג!B41=0,"",סיווג!B41)</f>
        <v xml:space="preserve">גשן </v>
      </c>
      <c r="C32" s="130" t="str">
        <f>IF(סיווג!W41="","",סיווג!W41)</f>
        <v>ילדים קטן</v>
      </c>
      <c r="D32" s="135">
        <f>'הרכב חברי הוועדה'!I38</f>
        <v>8.402053463073017E-3</v>
      </c>
      <c r="E32" s="136">
        <f>'הרכב חברי הוועדה'!J38</f>
        <v>830307.85335860366</v>
      </c>
      <c r="F32" s="136">
        <f>ייצוב!D32</f>
        <v>798447.00569656794</v>
      </c>
      <c r="G32" s="136">
        <f t="shared" si="0"/>
        <v>31860.847662035725</v>
      </c>
      <c r="H32" s="519">
        <f t="shared" si="1"/>
        <v>3.9903522005496406E-2</v>
      </c>
      <c r="M32" s="293"/>
    </row>
    <row r="33" spans="1:13" ht="18.75" thickBot="1">
      <c r="A33" s="131">
        <f>סיווג!A42</f>
        <v>29</v>
      </c>
      <c r="B33" s="132" t="str">
        <f>IF(סיווג!B42=0,"",סיווג!B42)</f>
        <v>תיאטרון העברי</v>
      </c>
      <c r="C33" s="130" t="str">
        <f>IF(סיווג!W42="","",סיווג!W42)</f>
        <v>קטן</v>
      </c>
      <c r="D33" s="135">
        <f>'הרכב חברי הוועדה'!I39</f>
        <v>6.6666902395006791E-3</v>
      </c>
      <c r="E33" s="136">
        <f>'הרכב חברי הוועדה'!J39</f>
        <v>658815.76284828968</v>
      </c>
      <c r="F33" s="136">
        <f>ייצוב!D33</f>
        <v>504948.31067219167</v>
      </c>
      <c r="G33" s="136">
        <f t="shared" si="0"/>
        <v>153867.45217609801</v>
      </c>
      <c r="H33" s="519">
        <f t="shared" si="1"/>
        <v>0.30471921367806587</v>
      </c>
      <c r="M33" s="293"/>
    </row>
    <row r="34" spans="1:13" ht="18.75" thickBot="1">
      <c r="A34" s="131">
        <f>סיווג!A43</f>
        <v>30</v>
      </c>
      <c r="B34" s="132" t="str">
        <f>IF(סיווג!B43=0,"",סיווג!B43)</f>
        <v>גליון ריק 2</v>
      </c>
      <c r="C34" s="130" t="str">
        <f>IF(סיווג!W43="","",סיווג!W43)</f>
        <v>ללא סיווג</v>
      </c>
      <c r="D34" s="135">
        <f>'הרכב חברי הוועדה'!I40</f>
        <v>0</v>
      </c>
      <c r="E34" s="136">
        <f>'הרכב חברי הוועדה'!J40</f>
        <v>0</v>
      </c>
      <c r="F34" s="136">
        <f>ייצוב!D34</f>
        <v>0</v>
      </c>
      <c r="G34" s="136">
        <f t="shared" si="0"/>
        <v>0</v>
      </c>
      <c r="H34" s="519" t="e">
        <f t="shared" si="1"/>
        <v>#DIV/0!</v>
      </c>
      <c r="M34" s="293"/>
    </row>
    <row r="35" spans="1:13" ht="18.75" thickBot="1">
      <c r="A35" s="131">
        <f>סיווג!A44</f>
        <v>31</v>
      </c>
      <c r="B35" s="132" t="str">
        <f>IF(סיווג!B44=0,"",סיווג!B44)</f>
        <v>גליון ריק 3</v>
      </c>
      <c r="C35" s="130" t="str">
        <f>IF(סיווג!W44="","",סיווג!W44)</f>
        <v>ללא סיווג</v>
      </c>
      <c r="D35" s="135">
        <f>'הרכב חברי הוועדה'!I41</f>
        <v>0</v>
      </c>
      <c r="E35" s="136">
        <f>'הרכב חברי הוועדה'!J41</f>
        <v>0</v>
      </c>
      <c r="F35" s="136">
        <f>ייצוב!D35</f>
        <v>0</v>
      </c>
      <c r="G35" s="136">
        <f t="shared" si="0"/>
        <v>0</v>
      </c>
      <c r="H35" s="519" t="e">
        <f t="shared" si="1"/>
        <v>#DIV/0!</v>
      </c>
      <c r="M35" s="293"/>
    </row>
    <row r="36" spans="1:13" ht="18.75" thickBot="1">
      <c r="A36" s="131">
        <f>סיווג!A45</f>
        <v>32</v>
      </c>
      <c r="B36" s="132" t="str">
        <f>IF(סיווג!B45=0,"",סיווג!B45)</f>
        <v/>
      </c>
      <c r="C36" s="130" t="str">
        <f>IF(סיווג!W45="","",סיווג!W45)</f>
        <v/>
      </c>
      <c r="D36" s="135" t="str">
        <f>'הרכב חברי הוועדה'!I42</f>
        <v/>
      </c>
      <c r="E36" s="136" t="str">
        <f>'הרכב חברי הוועדה'!J42</f>
        <v/>
      </c>
      <c r="F36" s="136">
        <f>ייצוב!D36</f>
        <v>0</v>
      </c>
      <c r="G36" s="136" t="str">
        <f t="shared" si="0"/>
        <v/>
      </c>
      <c r="H36" s="519" t="str">
        <f t="shared" si="1"/>
        <v/>
      </c>
    </row>
    <row r="37" spans="1:13" ht="18.75" thickBot="1">
      <c r="A37" s="133">
        <f>סיווג!A46</f>
        <v>33</v>
      </c>
      <c r="B37" s="134" t="str">
        <f>IF(סיווג!B46=0,"",סיווג!B46)</f>
        <v/>
      </c>
      <c r="C37" s="130" t="str">
        <f>IF(סיווג!W46="","",סיווג!W46)</f>
        <v/>
      </c>
      <c r="D37" s="135" t="str">
        <f>'הרכב חברי הוועדה'!I43</f>
        <v/>
      </c>
      <c r="E37" s="136" t="str">
        <f>'הרכב חברי הוועדה'!J43</f>
        <v/>
      </c>
      <c r="F37" s="136">
        <f>ייצוב!D37</f>
        <v>0</v>
      </c>
      <c r="G37" s="136" t="str">
        <f t="shared" si="0"/>
        <v/>
      </c>
      <c r="H37" s="519" t="str">
        <f t="shared" si="1"/>
        <v/>
      </c>
    </row>
    <row r="38" spans="1:13" ht="19.5" thickTop="1" thickBot="1">
      <c r="A38" s="720" t="s">
        <v>26</v>
      </c>
      <c r="B38" s="721"/>
      <c r="C38" s="722"/>
      <c r="D38" s="63">
        <f>SUM(D5:D37)</f>
        <v>1.0000000000000004</v>
      </c>
      <c r="E38" s="137">
        <f>SUM(E5:E37)</f>
        <v>98822015</v>
      </c>
      <c r="F38" s="137">
        <f>SUM(F5:F37)</f>
        <v>96733016.00000003</v>
      </c>
      <c r="G38" s="137">
        <f>SUM(G5:G37)</f>
        <v>2088999.0000000123</v>
      </c>
      <c r="H38" s="137"/>
    </row>
    <row r="39" spans="1:13" ht="13.5" thickTop="1"/>
  </sheetData>
  <sheetProtection formatColumns="0" formatRows="0"/>
  <mergeCells count="4">
    <mergeCell ref="A38:C38"/>
    <mergeCell ref="A3:E3"/>
    <mergeCell ref="B1:C1"/>
    <mergeCell ref="B2:C2"/>
  </mergeCells>
  <phoneticPr fontId="5" type="noConversion"/>
  <printOptions horizontalCentered="1"/>
  <pageMargins left="0.19685039370078741" right="0.19685039370078741" top="0.78740157480314965" bottom="0.59055118110236227" header="0.19685039370078741" footer="0.19685039370078741"/>
  <pageSetup paperSize="9" scale="61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6"/>
    <pageSetUpPr fitToPage="1"/>
  </sheetPr>
  <dimension ref="A1:AR47"/>
  <sheetViews>
    <sheetView rightToLeft="1" view="pageBreakPreview" topLeftCell="B1" zoomScale="85" zoomScaleSheetLayoutView="85" workbookViewId="0">
      <selection activeCell="S22" sqref="S22"/>
    </sheetView>
  </sheetViews>
  <sheetFormatPr defaultRowHeight="12.75" outlineLevelRow="1"/>
  <cols>
    <col min="1" max="1" width="12.140625" bestFit="1" customWidth="1"/>
    <col min="2" max="2" width="18.140625" customWidth="1"/>
    <col min="3" max="3" width="21.5703125" hidden="1" customWidth="1"/>
    <col min="4" max="4" width="35" customWidth="1"/>
    <col min="5" max="5" width="12" hidden="1" customWidth="1"/>
    <col min="6" max="6" width="15.28515625" hidden="1" customWidth="1"/>
    <col min="7" max="7" width="36" hidden="1" customWidth="1"/>
    <col min="8" max="8" width="11.5703125" customWidth="1"/>
    <col min="9" max="9" width="0.85546875" hidden="1" customWidth="1"/>
    <col min="10" max="10" width="19" customWidth="1"/>
    <col min="11" max="11" width="12.7109375" customWidth="1"/>
    <col min="12" max="12" width="8.5703125" hidden="1" customWidth="1"/>
    <col min="13" max="13" width="11.7109375" customWidth="1"/>
    <col min="14" max="14" width="11.42578125" customWidth="1"/>
    <col min="15" max="15" width="8.5703125" hidden="1" customWidth="1"/>
    <col min="16" max="16" width="15.28515625" customWidth="1"/>
    <col min="17" max="17" width="12.140625" customWidth="1"/>
    <col min="19" max="19" width="13.85546875" customWidth="1"/>
    <col min="20" max="20" width="13.85546875" hidden="1" customWidth="1"/>
    <col min="21" max="21" width="16.5703125" customWidth="1"/>
    <col min="22" max="22" width="13.85546875" customWidth="1"/>
    <col min="23" max="23" width="10.42578125" customWidth="1"/>
    <col min="24" max="24" width="9.28515625" customWidth="1"/>
    <col min="25" max="25" width="4.140625" hidden="1" customWidth="1"/>
    <col min="26" max="27" width="9.28515625" hidden="1" customWidth="1"/>
    <col min="28" max="28" width="9.140625" hidden="1" customWidth="1"/>
    <col min="29" max="29" width="11.5703125" hidden="1" customWidth="1"/>
    <col min="30" max="44" width="9.140625" hidden="1" customWidth="1"/>
    <col min="45" max="200" width="0" hidden="1" customWidth="1"/>
  </cols>
  <sheetData>
    <row r="1" spans="1:44" ht="17.25" thickTop="1" thickBot="1">
      <c r="Q1" s="395" t="str">
        <f>פרמטרים!B1</f>
        <v>שנת התקציב</v>
      </c>
      <c r="R1" s="593">
        <f>פרמטרים!D1</f>
        <v>2018</v>
      </c>
      <c r="S1" s="594"/>
    </row>
    <row r="2" spans="1:44" ht="16.5" thickBot="1">
      <c r="B2" s="284" t="s">
        <v>228</v>
      </c>
      <c r="C2" s="283"/>
      <c r="D2" s="283"/>
      <c r="H2" s="588" t="s">
        <v>285</v>
      </c>
      <c r="I2" s="589"/>
      <c r="J2" s="590"/>
      <c r="K2" s="588" t="s">
        <v>286</v>
      </c>
      <c r="L2" s="589"/>
      <c r="M2" s="590"/>
      <c r="N2" s="588" t="s">
        <v>287</v>
      </c>
      <c r="O2" s="589"/>
      <c r="P2" s="590"/>
      <c r="Q2" s="372" t="str">
        <f>פרמטרים!B2</f>
        <v>תקציב</v>
      </c>
      <c r="R2" s="595">
        <f>פרמטרים!D2</f>
        <v>98822015</v>
      </c>
      <c r="S2" s="596"/>
    </row>
    <row r="3" spans="1:44" s="369" customFormat="1" ht="25.5" outlineLevel="1">
      <c r="A3" s="373" t="str">
        <f>פרמטרים!A7</f>
        <v>סוג תיאטרון</v>
      </c>
      <c r="B3" s="374" t="str">
        <f>פרמטרים!B7</f>
        <v>מקדם קבוצתי</v>
      </c>
      <c r="C3" s="375"/>
      <c r="D3" s="376" t="s">
        <v>25</v>
      </c>
      <c r="E3" s="370"/>
      <c r="F3" s="370"/>
      <c r="G3" s="370"/>
      <c r="H3" s="464" t="str">
        <f>H13</f>
        <v xml:space="preserve"> שנת 2016</v>
      </c>
      <c r="I3" s="464" t="e">
        <f t="shared" ref="I3:P3" si="0">I13</f>
        <v>#VALUE!</v>
      </c>
      <c r="J3" s="464" t="str">
        <f t="shared" si="0"/>
        <v xml:space="preserve"> שנת 2017</v>
      </c>
      <c r="K3" s="464" t="str">
        <f t="shared" si="0"/>
        <v xml:space="preserve"> שנת 2016</v>
      </c>
      <c r="L3" s="464" t="e">
        <f t="shared" si="0"/>
        <v>#VALUE!</v>
      </c>
      <c r="M3" s="464" t="str">
        <f t="shared" si="0"/>
        <v xml:space="preserve"> שנת 2017</v>
      </c>
      <c r="N3" s="464" t="str">
        <f t="shared" si="0"/>
        <v xml:space="preserve"> שנת 2016</v>
      </c>
      <c r="O3" s="464" t="e">
        <f t="shared" si="0"/>
        <v>#VALUE!</v>
      </c>
      <c r="P3" s="464" t="str">
        <f t="shared" si="0"/>
        <v xml:space="preserve"> שנת 2017</v>
      </c>
      <c r="Q3" s="371"/>
      <c r="R3" s="465" t="str">
        <f>Q12</f>
        <v>וותק</v>
      </c>
      <c r="S3" s="465" t="str">
        <f>S12</f>
        <v>תקציב שנתי</v>
      </c>
      <c r="T3" s="465"/>
      <c r="U3" s="465"/>
      <c r="V3" s="465"/>
      <c r="W3" s="375"/>
      <c r="X3" s="377"/>
    </row>
    <row r="4" spans="1:44" outlineLevel="1">
      <c r="A4" s="368" t="str">
        <f>פרמטרים!A8</f>
        <v>גדול</v>
      </c>
      <c r="B4" s="202">
        <f>פרמטרים!B8</f>
        <v>1</v>
      </c>
      <c r="C4" s="231"/>
      <c r="D4" s="192">
        <v>0</v>
      </c>
      <c r="E4" s="231"/>
      <c r="F4" s="231"/>
      <c r="G4" s="231"/>
      <c r="H4" s="231">
        <v>0</v>
      </c>
      <c r="I4" s="231"/>
      <c r="J4" s="231">
        <v>10</v>
      </c>
      <c r="K4" s="231">
        <v>0</v>
      </c>
      <c r="L4" s="231"/>
      <c r="M4" s="231">
        <v>6</v>
      </c>
      <c r="N4" s="364">
        <v>0</v>
      </c>
      <c r="O4" s="231"/>
      <c r="P4" s="231">
        <v>500</v>
      </c>
      <c r="Q4" s="231"/>
      <c r="R4" s="231">
        <v>15</v>
      </c>
      <c r="S4" s="364">
        <v>49000000</v>
      </c>
      <c r="T4" s="364"/>
      <c r="U4" s="364"/>
      <c r="V4" s="364"/>
      <c r="W4" s="231"/>
      <c r="X4" s="365"/>
      <c r="Z4" s="369"/>
    </row>
    <row r="5" spans="1:44" outlineLevel="1">
      <c r="A5" s="368" t="str">
        <f>פרמטרים!A9</f>
        <v>בינוני</v>
      </c>
      <c r="B5" s="202">
        <f>פרמטרים!B9</f>
        <v>0.8</v>
      </c>
      <c r="C5" s="231"/>
      <c r="D5" s="192">
        <v>0</v>
      </c>
      <c r="E5" s="231"/>
      <c r="F5" s="231"/>
      <c r="G5" s="231"/>
      <c r="H5" s="231">
        <v>0</v>
      </c>
      <c r="I5" s="231"/>
      <c r="J5" s="231">
        <v>6</v>
      </c>
      <c r="K5" s="231">
        <v>0</v>
      </c>
      <c r="L5" s="231"/>
      <c r="M5" s="231">
        <v>3</v>
      </c>
      <c r="N5" s="364">
        <v>0</v>
      </c>
      <c r="O5" s="231"/>
      <c r="P5" s="231">
        <v>200</v>
      </c>
      <c r="Q5" s="231"/>
      <c r="R5" s="231">
        <v>10</v>
      </c>
      <c r="S5" s="364">
        <f>S4/3</f>
        <v>16333333.333333334</v>
      </c>
      <c r="T5" s="364"/>
      <c r="U5" s="364"/>
      <c r="V5" s="364"/>
      <c r="W5" s="231"/>
      <c r="X5" s="365"/>
      <c r="Z5" s="369"/>
    </row>
    <row r="6" spans="1:44" outlineLevel="1">
      <c r="A6" s="368" t="str">
        <f>פרמטרים!A10</f>
        <v>קטן</v>
      </c>
      <c r="B6" s="202">
        <f>פרמטרים!B10</f>
        <v>0.25</v>
      </c>
      <c r="C6" s="231"/>
      <c r="D6" s="192">
        <v>0</v>
      </c>
      <c r="E6" s="231"/>
      <c r="F6" s="231"/>
      <c r="G6" s="231"/>
      <c r="H6" s="366">
        <v>4</v>
      </c>
      <c r="I6" s="366"/>
      <c r="J6" s="366">
        <v>4</v>
      </c>
      <c r="K6" s="366">
        <v>2</v>
      </c>
      <c r="L6" s="231"/>
      <c r="M6" s="231">
        <v>2</v>
      </c>
      <c r="N6" s="364">
        <v>100</v>
      </c>
      <c r="O6" s="231"/>
      <c r="P6" s="231">
        <v>100</v>
      </c>
      <c r="Q6" s="366"/>
      <c r="R6" s="366">
        <v>5</v>
      </c>
      <c r="S6" s="367">
        <v>1200000</v>
      </c>
      <c r="T6" s="367"/>
      <c r="U6" s="367"/>
      <c r="V6" s="367"/>
      <c r="W6" s="231"/>
      <c r="X6" s="365"/>
      <c r="Z6" s="369"/>
    </row>
    <row r="7" spans="1:44" outlineLevel="1">
      <c r="A7" s="368" t="str">
        <f>פרמטרים!A11</f>
        <v>ילדים גדול</v>
      </c>
      <c r="B7" s="202">
        <f>פרמטרים!B11</f>
        <v>0.6</v>
      </c>
      <c r="C7" s="231"/>
      <c r="D7" s="192">
        <v>1</v>
      </c>
      <c r="E7" s="231"/>
      <c r="F7" s="231"/>
      <c r="G7" s="231"/>
      <c r="H7" s="231">
        <v>0</v>
      </c>
      <c r="I7" s="231"/>
      <c r="J7" s="231">
        <v>10</v>
      </c>
      <c r="K7" s="231">
        <v>0</v>
      </c>
      <c r="L7" s="231"/>
      <c r="M7" s="231">
        <v>4</v>
      </c>
      <c r="N7" s="364">
        <v>0</v>
      </c>
      <c r="O7" s="231"/>
      <c r="P7" s="231">
        <v>600</v>
      </c>
      <c r="Q7" s="231"/>
      <c r="R7" s="231">
        <v>15</v>
      </c>
      <c r="S7" s="364">
        <v>12200000</v>
      </c>
      <c r="T7" s="364"/>
      <c r="U7" s="364"/>
      <c r="V7" s="364"/>
      <c r="W7" s="231"/>
      <c r="X7" s="365"/>
      <c r="Z7" s="369"/>
    </row>
    <row r="8" spans="1:44" outlineLevel="1">
      <c r="A8" s="368" t="str">
        <f>פרמטרים!A12</f>
        <v>ילדים בינוני</v>
      </c>
      <c r="B8" s="202">
        <f>פרמטרים!B12</f>
        <v>0.4</v>
      </c>
      <c r="C8" s="231"/>
      <c r="D8" s="192">
        <v>1</v>
      </c>
      <c r="E8" s="231"/>
      <c r="F8" s="231"/>
      <c r="G8" s="231"/>
      <c r="H8" s="364">
        <v>8</v>
      </c>
      <c r="I8" s="231"/>
      <c r="J8" s="367">
        <v>8</v>
      </c>
      <c r="K8" s="367">
        <v>3</v>
      </c>
      <c r="L8" s="231"/>
      <c r="M8" s="364">
        <v>3</v>
      </c>
      <c r="N8" s="364">
        <v>400</v>
      </c>
      <c r="O8" s="364"/>
      <c r="P8" s="364">
        <v>400</v>
      </c>
      <c r="Q8" s="367"/>
      <c r="R8" s="367">
        <v>10</v>
      </c>
      <c r="S8" s="367">
        <v>9200000</v>
      </c>
      <c r="T8" s="367"/>
      <c r="U8" s="367"/>
      <c r="V8" s="367"/>
      <c r="W8" s="231"/>
      <c r="X8" s="365"/>
      <c r="Z8" s="369"/>
    </row>
    <row r="9" spans="1:44" outlineLevel="1">
      <c r="A9" s="368" t="str">
        <f>פרמטרים!A13</f>
        <v>ילדים קטן</v>
      </c>
      <c r="B9" s="202">
        <f>פרמטרים!B13</f>
        <v>0.2</v>
      </c>
      <c r="C9" s="231"/>
      <c r="D9" s="192">
        <v>1</v>
      </c>
      <c r="E9" s="231"/>
      <c r="F9" s="231"/>
      <c r="G9" s="231"/>
      <c r="H9" s="231">
        <v>0</v>
      </c>
      <c r="I9" s="231"/>
      <c r="J9" s="231">
        <v>6</v>
      </c>
      <c r="K9" s="231">
        <v>0</v>
      </c>
      <c r="L9" s="231"/>
      <c r="M9" s="231">
        <v>2</v>
      </c>
      <c r="N9" s="364">
        <v>0</v>
      </c>
      <c r="O9" s="231"/>
      <c r="P9" s="231">
        <v>200</v>
      </c>
      <c r="Q9" s="231"/>
      <c r="R9" s="231">
        <v>5</v>
      </c>
      <c r="S9" s="364">
        <v>1200000</v>
      </c>
      <c r="T9" s="364"/>
      <c r="U9" s="364"/>
      <c r="V9" s="364"/>
      <c r="W9" s="231"/>
      <c r="X9" s="365"/>
      <c r="Z9" s="369"/>
    </row>
    <row r="10" spans="1:44" outlineLevel="1">
      <c r="A10" s="368" t="str">
        <f>פרמטרים!A14</f>
        <v>ללא סיווג</v>
      </c>
      <c r="B10" s="202">
        <f>פרמטרים!B14</f>
        <v>0</v>
      </c>
      <c r="C10" s="231"/>
      <c r="D10" s="192">
        <v>0</v>
      </c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365"/>
      <c r="Z10" s="369"/>
    </row>
    <row r="11" spans="1:44" ht="18" customHeight="1" thickBot="1">
      <c r="A11" s="599" t="s">
        <v>0</v>
      </c>
      <c r="B11" s="600"/>
      <c r="C11" s="600"/>
      <c r="D11" s="600"/>
      <c r="E11" s="600"/>
      <c r="F11" s="600"/>
      <c r="G11" s="600"/>
      <c r="H11" s="600"/>
      <c r="I11" s="600"/>
      <c r="J11" s="600"/>
      <c r="K11" s="600"/>
      <c r="L11" s="600"/>
      <c r="M11" s="600"/>
      <c r="N11" s="600"/>
      <c r="O11" s="600"/>
      <c r="P11" s="600"/>
      <c r="Q11" s="600"/>
      <c r="R11" s="600"/>
      <c r="S11" s="600"/>
      <c r="T11" s="600"/>
      <c r="U11" s="600"/>
      <c r="V11" s="600"/>
      <c r="W11" s="600"/>
      <c r="X11" s="601"/>
    </row>
    <row r="12" spans="1:44" ht="30" customHeight="1">
      <c r="A12" s="604" t="s">
        <v>23</v>
      </c>
      <c r="B12" s="608" t="s">
        <v>24</v>
      </c>
      <c r="C12" s="591" t="s">
        <v>288</v>
      </c>
      <c r="D12" s="394" t="s">
        <v>25</v>
      </c>
      <c r="E12" s="394" t="s">
        <v>1</v>
      </c>
      <c r="F12" s="394" t="s">
        <v>2</v>
      </c>
      <c r="G12" s="394" t="s">
        <v>3</v>
      </c>
      <c r="H12" s="606" t="s">
        <v>284</v>
      </c>
      <c r="I12" s="610"/>
      <c r="J12" s="611"/>
      <c r="K12" s="606" t="s">
        <v>283</v>
      </c>
      <c r="L12" s="610"/>
      <c r="M12" s="611"/>
      <c r="N12" s="606" t="s">
        <v>4</v>
      </c>
      <c r="O12" s="610"/>
      <c r="P12" s="611"/>
      <c r="Q12" s="608" t="s">
        <v>5</v>
      </c>
      <c r="R12" s="608"/>
      <c r="S12" s="393" t="s">
        <v>149</v>
      </c>
      <c r="T12" s="612" t="s">
        <v>328</v>
      </c>
      <c r="U12" s="591" t="s">
        <v>329</v>
      </c>
      <c r="V12" s="591" t="s">
        <v>330</v>
      </c>
      <c r="W12" s="606" t="s">
        <v>0</v>
      </c>
      <c r="X12" s="602" t="s">
        <v>21</v>
      </c>
      <c r="Y12" s="597" t="s">
        <v>211</v>
      </c>
      <c r="Z12" s="598"/>
      <c r="AA12" s="598"/>
    </row>
    <row r="13" spans="1:44" ht="39" customHeight="1" thickBot="1">
      <c r="A13" s="605"/>
      <c r="B13" s="609"/>
      <c r="C13" s="592"/>
      <c r="D13" s="380" t="s">
        <v>7</v>
      </c>
      <c r="E13" s="380" t="s">
        <v>7</v>
      </c>
      <c r="F13" s="380" t="s">
        <v>7</v>
      </c>
      <c r="G13" s="381" t="s">
        <v>8</v>
      </c>
      <c r="H13" s="382" t="str">
        <f>" שנת "&amp;R1-2</f>
        <v xml:space="preserve"> שנת 2016</v>
      </c>
      <c r="I13" s="382" t="e">
        <f>H13-1</f>
        <v>#VALUE!</v>
      </c>
      <c r="J13" s="382" t="str">
        <f>" שנת "&amp;R1-1</f>
        <v xml:space="preserve"> שנת 2017</v>
      </c>
      <c r="K13" s="382" t="str">
        <f t="shared" ref="K13:P13" si="1">H13</f>
        <v xml:space="preserve"> שנת 2016</v>
      </c>
      <c r="L13" s="382" t="e">
        <f t="shared" si="1"/>
        <v>#VALUE!</v>
      </c>
      <c r="M13" s="382" t="str">
        <f t="shared" si="1"/>
        <v xml:space="preserve"> שנת 2017</v>
      </c>
      <c r="N13" s="382" t="str">
        <f t="shared" si="1"/>
        <v xml:space="preserve"> שנת 2016</v>
      </c>
      <c r="O13" s="382" t="e">
        <f t="shared" si="1"/>
        <v>#VALUE!</v>
      </c>
      <c r="P13" s="382" t="str">
        <f t="shared" si="1"/>
        <v xml:space="preserve"> שנת 2017</v>
      </c>
      <c r="Q13" s="380" t="s">
        <v>64</v>
      </c>
      <c r="R13" s="380" t="s">
        <v>6</v>
      </c>
      <c r="S13" s="382" t="s">
        <v>221</v>
      </c>
      <c r="T13" s="613"/>
      <c r="U13" s="614"/>
      <c r="V13" s="614"/>
      <c r="W13" s="607"/>
      <c r="X13" s="603"/>
      <c r="Y13" s="597"/>
      <c r="Z13" s="598"/>
      <c r="AA13" s="598"/>
      <c r="AC13" t="str">
        <f t="array" ref="AC13:AI13">TRANSPOSE($A$4:$A$10)</f>
        <v>גדול</v>
      </c>
      <c r="AD13" t="str">
        <v>בינוני</v>
      </c>
      <c r="AE13" t="str">
        <v>קטן</v>
      </c>
      <c r="AF13" t="str">
        <v>ילדים גדול</v>
      </c>
      <c r="AG13" t="str">
        <v>ילדים בינוני</v>
      </c>
      <c r="AH13" t="str">
        <v>ילדים קטן</v>
      </c>
      <c r="AI13" t="str">
        <v>ללא סיווג</v>
      </c>
      <c r="AJ13" s="363" t="s">
        <v>290</v>
      </c>
      <c r="AK13" s="363" t="s">
        <v>289</v>
      </c>
      <c r="AL13" t="str">
        <f t="array" ref="AL13:AR13">TRANSPOSE($A$4:$A$10)</f>
        <v>גדול</v>
      </c>
      <c r="AM13" t="str">
        <v>בינוני</v>
      </c>
      <c r="AN13" t="str">
        <v>קטן</v>
      </c>
      <c r="AO13" t="str">
        <v>ילדים גדול</v>
      </c>
      <c r="AP13" t="str">
        <v>ילדים בינוני</v>
      </c>
      <c r="AQ13" t="str">
        <v>ילדים קטן</v>
      </c>
      <c r="AR13" t="str">
        <v>ללא סיווג</v>
      </c>
    </row>
    <row r="14" spans="1:44">
      <c r="A14" s="420">
        <v>1</v>
      </c>
      <c r="B14" s="423" t="s">
        <v>9</v>
      </c>
      <c r="C14" s="529"/>
      <c r="D14" s="72">
        <v>0</v>
      </c>
      <c r="E14" s="72"/>
      <c r="F14" s="72"/>
      <c r="G14" s="72"/>
      <c r="H14" s="383">
        <v>28</v>
      </c>
      <c r="I14" s="383"/>
      <c r="J14" s="383">
        <v>28</v>
      </c>
      <c r="K14" s="396">
        <v>9.5</v>
      </c>
      <c r="L14" s="383"/>
      <c r="M14" s="396">
        <v>8.5</v>
      </c>
      <c r="N14" s="396">
        <v>1080</v>
      </c>
      <c r="O14" s="396"/>
      <c r="P14" s="396">
        <v>1103</v>
      </c>
      <c r="Q14" s="296">
        <v>1930</v>
      </c>
      <c r="R14" s="76">
        <f t="shared" ref="R14:R46" si="2">IF(OR(B14="",ISERR(Q14/3),Q14&lt;&gt;ROUND(Q14,0),Q14&lt;1000,Q14&gt;($R$1-1),ISBLANK(Q14)),"",$R$1-1-Q14)</f>
        <v>87</v>
      </c>
      <c r="S14" s="285">
        <v>64425000</v>
      </c>
      <c r="T14" s="532" t="str">
        <f>IF(B14="","",IF(C14&lt;&gt;"",C14,IF(D14=0,AJ14,AK14)))</f>
        <v>גדול</v>
      </c>
      <c r="U14" s="537"/>
      <c r="V14" s="537"/>
      <c r="W14" s="76" t="str">
        <f>IF(B14="","",IF(T14&lt;&gt;$A$10,T14,IF(OR(U14=1,V14=1),$A$6,$A$10)))</f>
        <v>גדול</v>
      </c>
      <c r="X14" s="384">
        <f t="shared" ref="X14:X46" si="3">IF(B14="","",IF(Y14="OK",VLOOKUP(W14,$A$4:$B$10,2,0),Y14))</f>
        <v>1</v>
      </c>
      <c r="Y14" s="378" t="str">
        <f>IF(ISNA(VLOOKUP(W14,$A$4:$A$10,1,0)),"","OK")</f>
        <v>OK</v>
      </c>
      <c r="Z14" s="231" t="str">
        <f t="shared" ref="Z14:Z46" si="4">IF(ISNA(VLOOKUP(W14,$A$4:$A$9,1,0)),"BAD",VLOOKUP(W14,$A$4:$A$9,1,0))</f>
        <v>גדול</v>
      </c>
      <c r="AA14" s="231" t="str">
        <f t="shared" ref="AA14:AA46" si="5">IF(OR(B14="",Z14="BAD",Y14=""),"B",W14)</f>
        <v>גדול</v>
      </c>
      <c r="AC14" s="263" t="b">
        <f>AND(H14&gt;=$H$4,J14&gt;=$J$4,K14&gt;=$K$4,M14&gt;=$M$4,N14&gt;=$N$4,P14&gt;=$P$4,R14&gt;=$R$4,S14&gt;=$S$4,D14=0)</f>
        <v>1</v>
      </c>
      <c r="AD14" t="b">
        <f>AND(H14&gt;=$H$5,J14&gt;=$J$5,K14&gt;=$K$5,M14&gt;=$M$5,N14&gt;=$N$5,P14&gt;=$P$5,R14&gt;=$R$5,S14&gt;=$S$5,D14=0)</f>
        <v>1</v>
      </c>
      <c r="AE14" t="b">
        <f>AND(H14&gt;=$H$6,J14&gt;=$J$6,K14&gt;=$K$6,M14&gt;=$M$6,N14&gt;=$N$6,P14&gt;=$P$6,R14&gt;=$R$6,S14&gt;=$S$6,D14=0)</f>
        <v>1</v>
      </c>
      <c r="AF14" t="b">
        <f>AND(H14&gt;=$H$7,J14&gt;=$J$7,K14&gt;=$K$7,M14&gt;=$M$7,N14&gt;=$N$7,P14&gt;=$P$7,R14&gt;=$R$7,S14&gt;=$S$7,D14=1)</f>
        <v>0</v>
      </c>
      <c r="AG14" t="b">
        <f>AND(H14&gt;=$H$8,J14&gt;=$J$8,K14&gt;=$K$8,M14&gt;=$M$8,N14&gt;=$N$8,P14&gt;=$P$8,R14&gt;=$R$8,S14&gt;=$S$8,D14=1)</f>
        <v>0</v>
      </c>
      <c r="AH14" t="b">
        <f>AND(H14&gt;=$H$9,J14&gt;=$J$9,K14&gt;=$K$9,M14&gt;=$M$9,N14&gt;=$N$9,P14&gt;=$P$9,R14&gt;=$R$9,S14&gt;=$S$9,D14=1)</f>
        <v>0</v>
      </c>
      <c r="AI14" t="b">
        <f>OR(AC14+AD14+AE14=0,AF14+AG14+AH14=0)</f>
        <v>1</v>
      </c>
      <c r="AJ14" s="363" t="str">
        <f>IF(AC14=TRUE,$AC$13,IF(AD14=TRUE,$AD$13,IF(AE14=TRUE,$AE$13,$AI$13)))</f>
        <v>גדול</v>
      </c>
      <c r="AK14" t="str">
        <f>IF(AF14=TRUE,$AF$13,IF(AG14=TRUE,$AG$13,IF(AH14=TRUE,$AH$13,$AI$13)))</f>
        <v>ללא סיווג</v>
      </c>
      <c r="AL14" t="str">
        <f>IF($B14="","",AL$13)</f>
        <v>גדול</v>
      </c>
      <c r="AM14" t="str">
        <f t="shared" ref="AM14:AR29" si="6">IF($B14="","",AM$13)</f>
        <v>בינוני</v>
      </c>
      <c r="AN14" t="str">
        <f t="shared" si="6"/>
        <v>קטן</v>
      </c>
      <c r="AO14" t="str">
        <f t="shared" si="6"/>
        <v>ילדים גדול</v>
      </c>
      <c r="AP14" t="str">
        <f t="shared" si="6"/>
        <v>ילדים בינוני</v>
      </c>
      <c r="AQ14" t="str">
        <f t="shared" si="6"/>
        <v>ילדים קטן</v>
      </c>
      <c r="AR14" t="str">
        <f t="shared" si="6"/>
        <v>ללא סיווג</v>
      </c>
    </row>
    <row r="15" spans="1:44">
      <c r="A15" s="421">
        <f>A14+1</f>
        <v>2</v>
      </c>
      <c r="B15" s="424" t="s">
        <v>27</v>
      </c>
      <c r="C15" s="530"/>
      <c r="D15" s="73">
        <v>0</v>
      </c>
      <c r="E15" s="73"/>
      <c r="F15" s="73"/>
      <c r="G15" s="73"/>
      <c r="H15" s="147">
        <v>38</v>
      </c>
      <c r="I15" s="147"/>
      <c r="J15" s="147">
        <v>33</v>
      </c>
      <c r="K15" s="397">
        <v>8.5</v>
      </c>
      <c r="L15" s="147"/>
      <c r="M15" s="397">
        <v>10.5</v>
      </c>
      <c r="N15" s="397">
        <v>1481</v>
      </c>
      <c r="O15" s="397"/>
      <c r="P15" s="397">
        <v>1571</v>
      </c>
      <c r="Q15" s="297">
        <v>1944</v>
      </c>
      <c r="R15" s="77">
        <f t="shared" si="2"/>
        <v>73</v>
      </c>
      <c r="S15" s="286">
        <v>107115587</v>
      </c>
      <c r="T15" s="533" t="str">
        <f t="shared" ref="T15:T46" si="7">IF(B15="","",IF(C15&lt;&gt;"",C15,IF(D15=0,AJ15,AK15)))</f>
        <v>גדול</v>
      </c>
      <c r="U15" s="538"/>
      <c r="V15" s="538"/>
      <c r="W15" s="77" t="str">
        <f t="shared" ref="W15:W46" si="8">IF(B15="","",IF(T15&lt;&gt;$A$10,T15,IF(OR(U15=1,V15=1),$A$6,$A$10)))</f>
        <v>גדול</v>
      </c>
      <c r="X15" s="385">
        <f t="shared" si="3"/>
        <v>1</v>
      </c>
      <c r="Y15" s="378" t="str">
        <f t="shared" ref="Y15:Y46" si="9">IF(ISNA(VLOOKUP(W15,$A$4:$A$10,1,0)),"","OK")</f>
        <v>OK</v>
      </c>
      <c r="Z15" s="231" t="str">
        <f t="shared" si="4"/>
        <v>גדול</v>
      </c>
      <c r="AA15" s="231" t="str">
        <f t="shared" si="5"/>
        <v>גדול</v>
      </c>
      <c r="AC15" s="263" t="b">
        <f t="shared" ref="AC15:AC46" si="10">AND(H15&gt;=$H$4,J15&gt;=$J$4,K15&gt;=$K$4,M15&gt;=$M$4,N15&gt;=$N$4,P15&gt;=$P$4,R15&gt;=$R$4,S15&gt;=$S$4,D15=0)</f>
        <v>1</v>
      </c>
      <c r="AD15" t="b">
        <f t="shared" ref="AD15:AD46" si="11">AND(H15&gt;=$H$5,J15&gt;=$J$5,K15&gt;=$K$5,M15&gt;=$M$5,N15&gt;=$N$5,P15&gt;=$P$5,R15&gt;=$R$5,S15&gt;=$S$5,D15=0)</f>
        <v>1</v>
      </c>
      <c r="AE15" t="b">
        <f t="shared" ref="AE15:AE46" si="12">AND(H15&gt;=$H$6,J15&gt;=$J$6,K15&gt;=$K$6,M15&gt;=$M$6,N15&gt;=$N$6,P15&gt;=$P$6,R15&gt;=$R$6,S15&gt;=$S$6,D15=0)</f>
        <v>1</v>
      </c>
      <c r="AF15" t="b">
        <f t="shared" ref="AF15:AF46" si="13">AND(H15&gt;=$H$7,J15&gt;=$J$7,K15&gt;=$K$7,M15&gt;=$M$7,N15&gt;=$N$7,P15&gt;=$P$7,R15&gt;=$R$7,S15&gt;=$S$7,D15=1)</f>
        <v>0</v>
      </c>
      <c r="AG15" t="b">
        <f t="shared" ref="AG15:AG46" si="14">AND(H15&gt;=$H$8,J15&gt;=$J$8,K15&gt;=$K$8,M15&gt;=$M$8,N15&gt;=$N$8,P15&gt;=$P$8,R15&gt;=$R$8,S15&gt;=$S$8,D15=1)</f>
        <v>0</v>
      </c>
      <c r="AH15" t="b">
        <f t="shared" ref="AH15:AH46" si="15">AND(H15&gt;=$H$9,J15&gt;=$J$9,K15&gt;=$K$9,M15&gt;=$M$9,N15&gt;=$N$9,P15&gt;=$P$9,R15&gt;=$R$9,S15&gt;=$S$9,D15=1)</f>
        <v>0</v>
      </c>
      <c r="AI15" t="b">
        <f t="shared" ref="AI15:AI46" si="16">OR(AC15+AD15+AE15=0,AF15+AG15+AH15=0)</f>
        <v>1</v>
      </c>
      <c r="AJ15" s="363" t="str">
        <f t="shared" ref="AJ15:AJ46" si="17">IF(AC15=TRUE,$AC$13,IF(AD15=TRUE,$AD$13,IF(AE15=TRUE,$AE$13,$AI$13)))</f>
        <v>גדול</v>
      </c>
      <c r="AK15" t="str">
        <f t="shared" ref="AK15:AK46" si="18">IF(AF15=TRUE,$AF$13,IF(AG15=TRUE,$AG$13,IF(AH15=TRUE,$AH$13,$AI$13)))</f>
        <v>ללא סיווג</v>
      </c>
      <c r="AL15" t="str">
        <f t="shared" ref="AL15:AR46" si="19">IF($B15="","",AL$13)</f>
        <v>גדול</v>
      </c>
      <c r="AM15" t="str">
        <f t="shared" si="6"/>
        <v>בינוני</v>
      </c>
      <c r="AN15" t="str">
        <f t="shared" si="6"/>
        <v>קטן</v>
      </c>
      <c r="AO15" t="str">
        <f t="shared" si="6"/>
        <v>ילדים גדול</v>
      </c>
      <c r="AP15" t="str">
        <f t="shared" si="6"/>
        <v>ילדים בינוני</v>
      </c>
      <c r="AQ15" t="str">
        <f t="shared" si="6"/>
        <v>ילדים קטן</v>
      </c>
      <c r="AR15" t="str">
        <f t="shared" si="6"/>
        <v>ללא סיווג</v>
      </c>
    </row>
    <row r="16" spans="1:44">
      <c r="A16" s="421">
        <f t="shared" ref="A16:A45" si="20">A15+1</f>
        <v>3</v>
      </c>
      <c r="B16" s="424" t="s">
        <v>181</v>
      </c>
      <c r="C16" s="530"/>
      <c r="D16" s="73">
        <v>0</v>
      </c>
      <c r="E16" s="73"/>
      <c r="F16" s="73"/>
      <c r="G16" s="73"/>
      <c r="H16" s="147">
        <v>22</v>
      </c>
      <c r="I16" s="147"/>
      <c r="J16" s="147">
        <v>25</v>
      </c>
      <c r="K16" s="397">
        <v>8</v>
      </c>
      <c r="L16" s="147"/>
      <c r="M16" s="397">
        <v>8.5</v>
      </c>
      <c r="N16" s="397">
        <v>1218</v>
      </c>
      <c r="O16" s="397"/>
      <c r="P16" s="397">
        <v>1280</v>
      </c>
      <c r="Q16" s="297">
        <v>1981</v>
      </c>
      <c r="R16" s="77">
        <f t="shared" si="2"/>
        <v>36</v>
      </c>
      <c r="S16" s="286">
        <v>58440329</v>
      </c>
      <c r="T16" s="533" t="str">
        <f t="shared" si="7"/>
        <v>גדול</v>
      </c>
      <c r="U16" s="538"/>
      <c r="V16" s="538"/>
      <c r="W16" s="77" t="str">
        <f t="shared" si="8"/>
        <v>גדול</v>
      </c>
      <c r="X16" s="385">
        <f t="shared" si="3"/>
        <v>1</v>
      </c>
      <c r="Y16" s="378" t="str">
        <f t="shared" si="9"/>
        <v>OK</v>
      </c>
      <c r="Z16" s="231" t="str">
        <f t="shared" si="4"/>
        <v>גדול</v>
      </c>
      <c r="AA16" s="231" t="str">
        <f t="shared" si="5"/>
        <v>גדול</v>
      </c>
      <c r="AC16" s="263" t="b">
        <f t="shared" si="10"/>
        <v>1</v>
      </c>
      <c r="AD16" t="b">
        <f t="shared" si="11"/>
        <v>1</v>
      </c>
      <c r="AE16" t="b">
        <f t="shared" si="12"/>
        <v>1</v>
      </c>
      <c r="AF16" t="b">
        <f t="shared" si="13"/>
        <v>0</v>
      </c>
      <c r="AG16" t="b">
        <f t="shared" si="14"/>
        <v>0</v>
      </c>
      <c r="AH16" t="b">
        <f t="shared" si="15"/>
        <v>0</v>
      </c>
      <c r="AI16" t="b">
        <f t="shared" si="16"/>
        <v>1</v>
      </c>
      <c r="AJ16" s="363" t="str">
        <f t="shared" si="17"/>
        <v>גדול</v>
      </c>
      <c r="AK16" t="str">
        <f t="shared" si="18"/>
        <v>ללא סיווג</v>
      </c>
      <c r="AL16" t="str">
        <f t="shared" si="19"/>
        <v>גדול</v>
      </c>
      <c r="AM16" t="str">
        <f t="shared" si="6"/>
        <v>בינוני</v>
      </c>
      <c r="AN16" t="str">
        <f t="shared" si="6"/>
        <v>קטן</v>
      </c>
      <c r="AO16" t="str">
        <f t="shared" si="6"/>
        <v>ילדים גדול</v>
      </c>
      <c r="AP16" t="str">
        <f t="shared" si="6"/>
        <v>ילדים בינוני</v>
      </c>
      <c r="AQ16" t="str">
        <f t="shared" si="6"/>
        <v>ילדים קטן</v>
      </c>
      <c r="AR16" t="str">
        <f t="shared" si="6"/>
        <v>ללא סיווג</v>
      </c>
    </row>
    <row r="17" spans="1:44">
      <c r="A17" s="421">
        <f t="shared" si="20"/>
        <v>4</v>
      </c>
      <c r="B17" s="424" t="s">
        <v>182</v>
      </c>
      <c r="C17" s="530"/>
      <c r="D17" s="73">
        <v>0</v>
      </c>
      <c r="E17" s="73"/>
      <c r="F17" s="73"/>
      <c r="G17" s="73"/>
      <c r="H17" s="147">
        <v>20</v>
      </c>
      <c r="I17" s="147"/>
      <c r="J17" s="147">
        <v>22</v>
      </c>
      <c r="K17" s="397">
        <v>6.2</v>
      </c>
      <c r="L17" s="147"/>
      <c r="M17" s="397">
        <v>7.2</v>
      </c>
      <c r="N17" s="397">
        <v>332</v>
      </c>
      <c r="O17" s="397"/>
      <c r="P17" s="397">
        <v>417</v>
      </c>
      <c r="Q17" s="297">
        <v>1961</v>
      </c>
      <c r="R17" s="77">
        <f t="shared" si="2"/>
        <v>56</v>
      </c>
      <c r="S17" s="286">
        <v>25928000</v>
      </c>
      <c r="T17" s="533" t="str">
        <f t="shared" si="7"/>
        <v>בינוני</v>
      </c>
      <c r="U17" s="538"/>
      <c r="V17" s="538"/>
      <c r="W17" s="77" t="str">
        <f t="shared" si="8"/>
        <v>בינוני</v>
      </c>
      <c r="X17" s="385">
        <f t="shared" si="3"/>
        <v>0.8</v>
      </c>
      <c r="Y17" s="378" t="str">
        <f t="shared" si="9"/>
        <v>OK</v>
      </c>
      <c r="Z17" s="231" t="str">
        <f t="shared" si="4"/>
        <v>בינוני</v>
      </c>
      <c r="AA17" s="231" t="str">
        <f t="shared" si="5"/>
        <v>בינוני</v>
      </c>
      <c r="AC17" s="263" t="b">
        <f t="shared" si="10"/>
        <v>0</v>
      </c>
      <c r="AD17" t="b">
        <f t="shared" si="11"/>
        <v>1</v>
      </c>
      <c r="AE17" t="b">
        <f t="shared" si="12"/>
        <v>1</v>
      </c>
      <c r="AF17" t="b">
        <f t="shared" si="13"/>
        <v>0</v>
      </c>
      <c r="AG17" t="b">
        <f t="shared" si="14"/>
        <v>0</v>
      </c>
      <c r="AH17" t="b">
        <f t="shared" si="15"/>
        <v>0</v>
      </c>
      <c r="AI17" t="b">
        <f t="shared" si="16"/>
        <v>1</v>
      </c>
      <c r="AJ17" s="363" t="str">
        <f t="shared" si="17"/>
        <v>בינוני</v>
      </c>
      <c r="AK17" t="str">
        <f t="shared" si="18"/>
        <v>ללא סיווג</v>
      </c>
      <c r="AL17" t="str">
        <f t="shared" si="19"/>
        <v>גדול</v>
      </c>
      <c r="AM17" t="str">
        <f t="shared" si="6"/>
        <v>בינוני</v>
      </c>
      <c r="AN17" t="str">
        <f t="shared" si="6"/>
        <v>קטן</v>
      </c>
      <c r="AO17" t="str">
        <f t="shared" si="6"/>
        <v>ילדים גדול</v>
      </c>
      <c r="AP17" t="str">
        <f t="shared" si="6"/>
        <v>ילדים בינוני</v>
      </c>
      <c r="AQ17" t="str">
        <f t="shared" si="6"/>
        <v>ילדים קטן</v>
      </c>
      <c r="AR17" t="str">
        <f t="shared" si="6"/>
        <v>ללא סיווג</v>
      </c>
    </row>
    <row r="18" spans="1:44">
      <c r="A18" s="421">
        <f t="shared" si="20"/>
        <v>5</v>
      </c>
      <c r="B18" s="424" t="s">
        <v>203</v>
      </c>
      <c r="C18" s="530"/>
      <c r="D18" s="73">
        <v>0</v>
      </c>
      <c r="E18" s="73"/>
      <c r="F18" s="73"/>
      <c r="G18" s="73"/>
      <c r="H18" s="147">
        <v>14</v>
      </c>
      <c r="I18" s="147"/>
      <c r="J18" s="147">
        <v>11</v>
      </c>
      <c r="K18" s="397">
        <v>5</v>
      </c>
      <c r="L18" s="147"/>
      <c r="M18" s="397">
        <v>5</v>
      </c>
      <c r="N18" s="397">
        <v>396</v>
      </c>
      <c r="O18" s="397"/>
      <c r="P18" s="397">
        <v>365</v>
      </c>
      <c r="Q18" s="297">
        <v>1973</v>
      </c>
      <c r="R18" s="77">
        <f t="shared" si="2"/>
        <v>44</v>
      </c>
      <c r="S18" s="286">
        <v>29088481</v>
      </c>
      <c r="T18" s="533" t="str">
        <f t="shared" si="7"/>
        <v>בינוני</v>
      </c>
      <c r="U18" s="538"/>
      <c r="V18" s="538"/>
      <c r="W18" s="77" t="str">
        <f t="shared" si="8"/>
        <v>בינוני</v>
      </c>
      <c r="X18" s="385">
        <f t="shared" si="3"/>
        <v>0.8</v>
      </c>
      <c r="Y18" s="378" t="str">
        <f t="shared" si="9"/>
        <v>OK</v>
      </c>
      <c r="Z18" s="231" t="str">
        <f t="shared" si="4"/>
        <v>בינוני</v>
      </c>
      <c r="AA18" s="231" t="str">
        <f t="shared" si="5"/>
        <v>בינוני</v>
      </c>
      <c r="AC18" s="263" t="b">
        <f t="shared" si="10"/>
        <v>0</v>
      </c>
      <c r="AD18" t="b">
        <f t="shared" si="11"/>
        <v>1</v>
      </c>
      <c r="AE18" t="b">
        <f t="shared" si="12"/>
        <v>1</v>
      </c>
      <c r="AF18" t="b">
        <f t="shared" si="13"/>
        <v>0</v>
      </c>
      <c r="AG18" t="b">
        <f t="shared" si="14"/>
        <v>0</v>
      </c>
      <c r="AH18" t="b">
        <f t="shared" si="15"/>
        <v>0</v>
      </c>
      <c r="AI18" t="b">
        <f t="shared" si="16"/>
        <v>1</v>
      </c>
      <c r="AJ18" s="363" t="str">
        <f t="shared" si="17"/>
        <v>בינוני</v>
      </c>
      <c r="AK18" t="str">
        <f t="shared" si="18"/>
        <v>ללא סיווג</v>
      </c>
      <c r="AL18" t="str">
        <f t="shared" si="19"/>
        <v>גדול</v>
      </c>
      <c r="AM18" t="str">
        <f t="shared" si="6"/>
        <v>בינוני</v>
      </c>
      <c r="AN18" t="str">
        <f t="shared" si="6"/>
        <v>קטן</v>
      </c>
      <c r="AO18" t="str">
        <f t="shared" si="6"/>
        <v>ילדים גדול</v>
      </c>
      <c r="AP18" t="str">
        <f t="shared" si="6"/>
        <v>ילדים בינוני</v>
      </c>
      <c r="AQ18" t="str">
        <f t="shared" si="6"/>
        <v>ילדים קטן</v>
      </c>
      <c r="AR18" t="str">
        <f t="shared" si="6"/>
        <v>ללא סיווג</v>
      </c>
    </row>
    <row r="19" spans="1:44">
      <c r="A19" s="421">
        <f t="shared" si="20"/>
        <v>6</v>
      </c>
      <c r="B19" s="424" t="s">
        <v>183</v>
      </c>
      <c r="C19" s="530"/>
      <c r="D19" s="73">
        <v>0</v>
      </c>
      <c r="E19" s="73"/>
      <c r="F19" s="73"/>
      <c r="G19" s="73"/>
      <c r="H19" s="147">
        <v>13</v>
      </c>
      <c r="I19" s="147"/>
      <c r="J19" s="147">
        <v>16</v>
      </c>
      <c r="K19" s="397">
        <v>6</v>
      </c>
      <c r="L19" s="147"/>
      <c r="M19" s="397">
        <v>5</v>
      </c>
      <c r="N19" s="397">
        <v>260</v>
      </c>
      <c r="O19" s="397"/>
      <c r="P19" s="397">
        <v>259</v>
      </c>
      <c r="Q19" s="297">
        <v>1991</v>
      </c>
      <c r="R19" s="77">
        <f t="shared" si="2"/>
        <v>26</v>
      </c>
      <c r="S19" s="286">
        <v>25014000</v>
      </c>
      <c r="T19" s="533" t="str">
        <f t="shared" si="7"/>
        <v>בינוני</v>
      </c>
      <c r="U19" s="538"/>
      <c r="V19" s="538"/>
      <c r="W19" s="77" t="str">
        <f t="shared" si="8"/>
        <v>בינוני</v>
      </c>
      <c r="X19" s="385">
        <f t="shared" si="3"/>
        <v>0.8</v>
      </c>
      <c r="Y19" s="378" t="str">
        <f t="shared" si="9"/>
        <v>OK</v>
      </c>
      <c r="Z19" s="231" t="str">
        <f t="shared" si="4"/>
        <v>בינוני</v>
      </c>
      <c r="AA19" s="231" t="str">
        <f t="shared" si="5"/>
        <v>בינוני</v>
      </c>
      <c r="AC19" s="263" t="b">
        <f t="shared" si="10"/>
        <v>0</v>
      </c>
      <c r="AD19" t="b">
        <f t="shared" si="11"/>
        <v>1</v>
      </c>
      <c r="AE19" t="b">
        <f t="shared" si="12"/>
        <v>1</v>
      </c>
      <c r="AF19" t="b">
        <f t="shared" si="13"/>
        <v>0</v>
      </c>
      <c r="AG19" t="b">
        <f t="shared" si="14"/>
        <v>0</v>
      </c>
      <c r="AH19" t="b">
        <f t="shared" si="15"/>
        <v>0</v>
      </c>
      <c r="AI19" t="b">
        <f t="shared" si="16"/>
        <v>1</v>
      </c>
      <c r="AJ19" s="363" t="str">
        <f t="shared" si="17"/>
        <v>בינוני</v>
      </c>
      <c r="AK19" t="str">
        <f t="shared" si="18"/>
        <v>ללא סיווג</v>
      </c>
      <c r="AL19" t="str">
        <f t="shared" si="19"/>
        <v>גדול</v>
      </c>
      <c r="AM19" t="str">
        <f t="shared" si="6"/>
        <v>בינוני</v>
      </c>
      <c r="AN19" t="str">
        <f t="shared" si="6"/>
        <v>קטן</v>
      </c>
      <c r="AO19" t="str">
        <f t="shared" si="6"/>
        <v>ילדים גדול</v>
      </c>
      <c r="AP19" t="str">
        <f t="shared" si="6"/>
        <v>ילדים בינוני</v>
      </c>
      <c r="AQ19" t="str">
        <f t="shared" si="6"/>
        <v>ילדים קטן</v>
      </c>
      <c r="AR19" t="str">
        <f t="shared" si="6"/>
        <v>ללא סיווג</v>
      </c>
    </row>
    <row r="20" spans="1:44">
      <c r="A20" s="421">
        <f t="shared" si="20"/>
        <v>7</v>
      </c>
      <c r="B20" s="424" t="s">
        <v>184</v>
      </c>
      <c r="C20" s="530"/>
      <c r="D20" s="73">
        <v>0</v>
      </c>
      <c r="E20" s="73"/>
      <c r="F20" s="73"/>
      <c r="G20" s="73"/>
      <c r="H20" s="147">
        <v>16</v>
      </c>
      <c r="I20" s="147"/>
      <c r="J20" s="147">
        <v>19</v>
      </c>
      <c r="K20" s="397">
        <v>4</v>
      </c>
      <c r="L20" s="147"/>
      <c r="M20" s="397">
        <v>5</v>
      </c>
      <c r="N20" s="397">
        <v>302</v>
      </c>
      <c r="O20" s="397"/>
      <c r="P20" s="397">
        <v>312</v>
      </c>
      <c r="Q20" s="297">
        <v>1968</v>
      </c>
      <c r="R20" s="77">
        <f t="shared" si="2"/>
        <v>49</v>
      </c>
      <c r="S20" s="286">
        <v>18196230</v>
      </c>
      <c r="T20" s="533" t="str">
        <f t="shared" si="7"/>
        <v>בינוני</v>
      </c>
      <c r="U20" s="538"/>
      <c r="V20" s="538"/>
      <c r="W20" s="77" t="str">
        <f t="shared" si="8"/>
        <v>בינוני</v>
      </c>
      <c r="X20" s="385">
        <f t="shared" si="3"/>
        <v>0.8</v>
      </c>
      <c r="Y20" s="378" t="str">
        <f t="shared" si="9"/>
        <v>OK</v>
      </c>
      <c r="Z20" s="231" t="str">
        <f t="shared" si="4"/>
        <v>בינוני</v>
      </c>
      <c r="AA20" s="231" t="str">
        <f t="shared" si="5"/>
        <v>בינוני</v>
      </c>
      <c r="AC20" s="263" t="b">
        <f t="shared" si="10"/>
        <v>0</v>
      </c>
      <c r="AD20" t="b">
        <f t="shared" si="11"/>
        <v>1</v>
      </c>
      <c r="AE20" t="b">
        <f t="shared" si="12"/>
        <v>1</v>
      </c>
      <c r="AF20" t="b">
        <f t="shared" si="13"/>
        <v>0</v>
      </c>
      <c r="AG20" t="b">
        <f t="shared" si="14"/>
        <v>0</v>
      </c>
      <c r="AH20" t="b">
        <f t="shared" si="15"/>
        <v>0</v>
      </c>
      <c r="AI20" t="b">
        <f t="shared" si="16"/>
        <v>1</v>
      </c>
      <c r="AJ20" s="363" t="str">
        <f t="shared" si="17"/>
        <v>בינוני</v>
      </c>
      <c r="AK20" t="str">
        <f t="shared" si="18"/>
        <v>ללא סיווג</v>
      </c>
      <c r="AL20" t="str">
        <f t="shared" si="19"/>
        <v>גדול</v>
      </c>
      <c r="AM20" t="str">
        <f t="shared" si="6"/>
        <v>בינוני</v>
      </c>
      <c r="AN20" t="str">
        <f t="shared" si="6"/>
        <v>קטן</v>
      </c>
      <c r="AO20" t="str">
        <f t="shared" si="6"/>
        <v>ילדים גדול</v>
      </c>
      <c r="AP20" t="str">
        <f t="shared" si="6"/>
        <v>ילדים בינוני</v>
      </c>
      <c r="AQ20" t="str">
        <f t="shared" si="6"/>
        <v>ילדים קטן</v>
      </c>
      <c r="AR20" t="str">
        <f t="shared" si="6"/>
        <v>ללא סיווג</v>
      </c>
    </row>
    <row r="21" spans="1:44">
      <c r="A21" s="421">
        <f t="shared" si="20"/>
        <v>8</v>
      </c>
      <c r="B21" s="424" t="s">
        <v>204</v>
      </c>
      <c r="C21" s="530"/>
      <c r="D21" s="73">
        <v>0</v>
      </c>
      <c r="E21" s="73"/>
      <c r="F21" s="73"/>
      <c r="G21" s="73"/>
      <c r="H21" s="147">
        <v>21</v>
      </c>
      <c r="I21" s="147"/>
      <c r="J21" s="147">
        <v>20</v>
      </c>
      <c r="K21" s="397">
        <v>8.1999999999999993</v>
      </c>
      <c r="L21" s="147"/>
      <c r="M21" s="397">
        <v>5</v>
      </c>
      <c r="N21" s="397">
        <v>371</v>
      </c>
      <c r="O21" s="397"/>
      <c r="P21" s="397">
        <v>349</v>
      </c>
      <c r="Q21" s="297">
        <v>1987</v>
      </c>
      <c r="R21" s="77">
        <f t="shared" si="2"/>
        <v>30</v>
      </c>
      <c r="S21" s="286">
        <v>17309145</v>
      </c>
      <c r="T21" s="533" t="str">
        <f t="shared" si="7"/>
        <v>בינוני</v>
      </c>
      <c r="U21" s="538"/>
      <c r="V21" s="538"/>
      <c r="W21" s="77" t="str">
        <f t="shared" si="8"/>
        <v>בינוני</v>
      </c>
      <c r="X21" s="385">
        <f t="shared" si="3"/>
        <v>0.8</v>
      </c>
      <c r="Y21" s="378" t="str">
        <f t="shared" si="9"/>
        <v>OK</v>
      </c>
      <c r="Z21" s="231" t="str">
        <f t="shared" si="4"/>
        <v>בינוני</v>
      </c>
      <c r="AA21" s="231" t="str">
        <f t="shared" si="5"/>
        <v>בינוני</v>
      </c>
      <c r="AC21" s="263" t="b">
        <f t="shared" si="10"/>
        <v>0</v>
      </c>
      <c r="AD21" t="b">
        <f t="shared" si="11"/>
        <v>1</v>
      </c>
      <c r="AE21" t="b">
        <f t="shared" si="12"/>
        <v>1</v>
      </c>
      <c r="AF21" t="b">
        <f t="shared" si="13"/>
        <v>0</v>
      </c>
      <c r="AG21" t="b">
        <f t="shared" si="14"/>
        <v>0</v>
      </c>
      <c r="AH21" t="b">
        <f t="shared" si="15"/>
        <v>0</v>
      </c>
      <c r="AI21" t="b">
        <f t="shared" si="16"/>
        <v>1</v>
      </c>
      <c r="AJ21" s="363" t="str">
        <f t="shared" si="17"/>
        <v>בינוני</v>
      </c>
      <c r="AK21" t="str">
        <f t="shared" si="18"/>
        <v>ללא סיווג</v>
      </c>
      <c r="AL21" t="str">
        <f t="shared" si="19"/>
        <v>גדול</v>
      </c>
      <c r="AM21" t="str">
        <f t="shared" si="6"/>
        <v>בינוני</v>
      </c>
      <c r="AN21" t="str">
        <f t="shared" si="6"/>
        <v>קטן</v>
      </c>
      <c r="AO21" t="str">
        <f t="shared" si="6"/>
        <v>ילדים גדול</v>
      </c>
      <c r="AP21" t="str">
        <f t="shared" si="6"/>
        <v>ילדים בינוני</v>
      </c>
      <c r="AQ21" t="str">
        <f t="shared" si="6"/>
        <v>ילדים קטן</v>
      </c>
      <c r="AR21" t="str">
        <f t="shared" si="6"/>
        <v>ללא סיווג</v>
      </c>
    </row>
    <row r="22" spans="1:44">
      <c r="A22" s="421">
        <f t="shared" si="20"/>
        <v>9</v>
      </c>
      <c r="B22" s="424" t="s">
        <v>332</v>
      </c>
      <c r="C22" s="530"/>
      <c r="D22" s="73">
        <v>0</v>
      </c>
      <c r="E22" s="73"/>
      <c r="F22" s="73"/>
      <c r="G22" s="73"/>
      <c r="H22" s="147">
        <v>13</v>
      </c>
      <c r="I22" s="147"/>
      <c r="J22" s="147">
        <v>2</v>
      </c>
      <c r="K22" s="397">
        <v>2</v>
      </c>
      <c r="L22" s="147"/>
      <c r="M22" s="397">
        <v>0</v>
      </c>
      <c r="N22" s="397">
        <v>211</v>
      </c>
      <c r="O22" s="397"/>
      <c r="P22" s="397">
        <v>6</v>
      </c>
      <c r="Q22" s="297">
        <v>1995</v>
      </c>
      <c r="R22" s="77">
        <f t="shared" si="2"/>
        <v>22</v>
      </c>
      <c r="S22" s="286">
        <v>3081901</v>
      </c>
      <c r="T22" s="533" t="str">
        <f t="shared" si="7"/>
        <v>ללא סיווג</v>
      </c>
      <c r="U22" s="538"/>
      <c r="V22" s="538">
        <v>0</v>
      </c>
      <c r="W22" s="77" t="str">
        <f t="shared" si="8"/>
        <v>ללא סיווג</v>
      </c>
      <c r="X22" s="385">
        <f t="shared" si="3"/>
        <v>0</v>
      </c>
      <c r="Y22" s="378" t="str">
        <f t="shared" si="9"/>
        <v>OK</v>
      </c>
      <c r="Z22" s="231" t="str">
        <f t="shared" si="4"/>
        <v>BAD</v>
      </c>
      <c r="AA22" s="231" t="str">
        <f t="shared" si="5"/>
        <v>B</v>
      </c>
      <c r="AC22" s="263" t="b">
        <f t="shared" si="10"/>
        <v>0</v>
      </c>
      <c r="AD22" t="b">
        <f t="shared" si="11"/>
        <v>0</v>
      </c>
      <c r="AE22" t="b">
        <f t="shared" si="12"/>
        <v>0</v>
      </c>
      <c r="AF22" t="b">
        <f t="shared" si="13"/>
        <v>0</v>
      </c>
      <c r="AG22" t="b">
        <f t="shared" si="14"/>
        <v>0</v>
      </c>
      <c r="AH22" t="b">
        <f t="shared" si="15"/>
        <v>0</v>
      </c>
      <c r="AI22" t="b">
        <f t="shared" si="16"/>
        <v>1</v>
      </c>
      <c r="AJ22" s="363" t="str">
        <f t="shared" si="17"/>
        <v>ללא סיווג</v>
      </c>
      <c r="AK22" t="str">
        <f t="shared" si="18"/>
        <v>ללא סיווג</v>
      </c>
      <c r="AL22" t="str">
        <f t="shared" si="19"/>
        <v>גדול</v>
      </c>
      <c r="AM22" t="str">
        <f t="shared" si="6"/>
        <v>בינוני</v>
      </c>
      <c r="AN22" t="str">
        <f t="shared" si="6"/>
        <v>קטן</v>
      </c>
      <c r="AO22" t="str">
        <f t="shared" si="6"/>
        <v>ילדים גדול</v>
      </c>
      <c r="AP22" t="str">
        <f t="shared" si="6"/>
        <v>ילדים בינוני</v>
      </c>
      <c r="AQ22" t="str">
        <f t="shared" si="6"/>
        <v>ילדים קטן</v>
      </c>
      <c r="AR22" t="str">
        <f t="shared" si="6"/>
        <v>ללא סיווג</v>
      </c>
    </row>
    <row r="23" spans="1:44">
      <c r="A23" s="421">
        <f t="shared" si="20"/>
        <v>10</v>
      </c>
      <c r="B23" s="424" t="s">
        <v>205</v>
      </c>
      <c r="C23" s="530"/>
      <c r="D23" s="73">
        <v>0</v>
      </c>
      <c r="E23" s="73"/>
      <c r="F23" s="73"/>
      <c r="G23" s="73"/>
      <c r="H23" s="147">
        <v>8</v>
      </c>
      <c r="I23" s="147"/>
      <c r="J23" s="147">
        <v>9</v>
      </c>
      <c r="K23" s="397">
        <v>2</v>
      </c>
      <c r="L23" s="147"/>
      <c r="M23" s="397">
        <v>2</v>
      </c>
      <c r="N23" s="397">
        <v>136</v>
      </c>
      <c r="O23" s="397"/>
      <c r="P23" s="397">
        <v>102</v>
      </c>
      <c r="Q23" s="297">
        <v>1999</v>
      </c>
      <c r="R23" s="77">
        <f t="shared" si="2"/>
        <v>18</v>
      </c>
      <c r="S23" s="286">
        <v>1481007</v>
      </c>
      <c r="T23" s="533" t="str">
        <f t="shared" si="7"/>
        <v>קטן</v>
      </c>
      <c r="U23" s="538"/>
      <c r="V23" s="538"/>
      <c r="W23" s="77" t="str">
        <f t="shared" si="8"/>
        <v>קטן</v>
      </c>
      <c r="X23" s="385">
        <f t="shared" si="3"/>
        <v>0.25</v>
      </c>
      <c r="Y23" s="378" t="str">
        <f t="shared" si="9"/>
        <v>OK</v>
      </c>
      <c r="Z23" s="231" t="str">
        <f t="shared" si="4"/>
        <v>קטן</v>
      </c>
      <c r="AA23" s="231" t="str">
        <f t="shared" si="5"/>
        <v>קטן</v>
      </c>
      <c r="AC23" s="263" t="b">
        <f t="shared" si="10"/>
        <v>0</v>
      </c>
      <c r="AD23" t="b">
        <f t="shared" si="11"/>
        <v>0</v>
      </c>
      <c r="AE23" t="b">
        <f t="shared" si="12"/>
        <v>1</v>
      </c>
      <c r="AF23" t="b">
        <f t="shared" si="13"/>
        <v>0</v>
      </c>
      <c r="AG23" t="b">
        <f t="shared" si="14"/>
        <v>0</v>
      </c>
      <c r="AH23" t="b">
        <f t="shared" si="15"/>
        <v>0</v>
      </c>
      <c r="AI23" t="b">
        <f t="shared" si="16"/>
        <v>1</v>
      </c>
      <c r="AJ23" s="363" t="str">
        <f t="shared" si="17"/>
        <v>קטן</v>
      </c>
      <c r="AK23" t="str">
        <f t="shared" si="18"/>
        <v>ללא סיווג</v>
      </c>
      <c r="AL23" t="str">
        <f t="shared" si="19"/>
        <v>גדול</v>
      </c>
      <c r="AM23" t="str">
        <f t="shared" si="6"/>
        <v>בינוני</v>
      </c>
      <c r="AN23" t="str">
        <f t="shared" si="6"/>
        <v>קטן</v>
      </c>
      <c r="AO23" t="str">
        <f t="shared" si="6"/>
        <v>ילדים גדול</v>
      </c>
      <c r="AP23" t="str">
        <f t="shared" si="6"/>
        <v>ילדים בינוני</v>
      </c>
      <c r="AQ23" t="str">
        <f t="shared" si="6"/>
        <v>ילדים קטן</v>
      </c>
      <c r="AR23" t="str">
        <f t="shared" si="6"/>
        <v>ללא סיווג</v>
      </c>
    </row>
    <row r="24" spans="1:44">
      <c r="A24" s="421">
        <f t="shared" si="20"/>
        <v>11</v>
      </c>
      <c r="B24" s="424" t="s">
        <v>227</v>
      </c>
      <c r="C24" s="530"/>
      <c r="D24" s="73">
        <v>0</v>
      </c>
      <c r="E24" s="73"/>
      <c r="F24" s="73"/>
      <c r="G24" s="73"/>
      <c r="H24" s="147">
        <v>20</v>
      </c>
      <c r="I24" s="147"/>
      <c r="J24" s="147">
        <v>19</v>
      </c>
      <c r="K24" s="397">
        <v>3</v>
      </c>
      <c r="L24" s="147"/>
      <c r="M24" s="397">
        <v>4</v>
      </c>
      <c r="N24" s="397">
        <v>216</v>
      </c>
      <c r="O24" s="397"/>
      <c r="P24" s="397">
        <v>218</v>
      </c>
      <c r="Q24" s="297">
        <v>2004</v>
      </c>
      <c r="R24" s="77">
        <f t="shared" si="2"/>
        <v>13</v>
      </c>
      <c r="S24" s="286">
        <v>2877821</v>
      </c>
      <c r="T24" s="533" t="str">
        <f t="shared" si="7"/>
        <v>קטן</v>
      </c>
      <c r="U24" s="538"/>
      <c r="V24" s="538"/>
      <c r="W24" s="77" t="str">
        <f t="shared" si="8"/>
        <v>קטן</v>
      </c>
      <c r="X24" s="385">
        <f t="shared" si="3"/>
        <v>0.25</v>
      </c>
      <c r="Y24" s="378" t="str">
        <f t="shared" si="9"/>
        <v>OK</v>
      </c>
      <c r="Z24" s="231" t="str">
        <f t="shared" si="4"/>
        <v>קטן</v>
      </c>
      <c r="AA24" s="231" t="str">
        <f t="shared" si="5"/>
        <v>קטן</v>
      </c>
      <c r="AC24" s="263" t="b">
        <f t="shared" si="10"/>
        <v>0</v>
      </c>
      <c r="AD24" t="b">
        <f t="shared" si="11"/>
        <v>0</v>
      </c>
      <c r="AE24" t="b">
        <f t="shared" si="12"/>
        <v>1</v>
      </c>
      <c r="AF24" t="b">
        <f t="shared" si="13"/>
        <v>0</v>
      </c>
      <c r="AG24" t="b">
        <f t="shared" si="14"/>
        <v>0</v>
      </c>
      <c r="AH24" t="b">
        <f t="shared" si="15"/>
        <v>0</v>
      </c>
      <c r="AI24" t="b">
        <f t="shared" si="16"/>
        <v>1</v>
      </c>
      <c r="AJ24" s="363" t="str">
        <f t="shared" si="17"/>
        <v>קטן</v>
      </c>
      <c r="AK24" t="str">
        <f t="shared" si="18"/>
        <v>ללא סיווג</v>
      </c>
      <c r="AL24" t="str">
        <f t="shared" si="19"/>
        <v>גדול</v>
      </c>
      <c r="AM24" t="str">
        <f t="shared" si="6"/>
        <v>בינוני</v>
      </c>
      <c r="AN24" t="str">
        <f t="shared" si="6"/>
        <v>קטן</v>
      </c>
      <c r="AO24" t="str">
        <f t="shared" si="6"/>
        <v>ילדים גדול</v>
      </c>
      <c r="AP24" t="str">
        <f t="shared" si="6"/>
        <v>ילדים בינוני</v>
      </c>
      <c r="AQ24" t="str">
        <f t="shared" si="6"/>
        <v>ילדים קטן</v>
      </c>
      <c r="AR24" t="str">
        <f t="shared" si="6"/>
        <v>ללא סיווג</v>
      </c>
    </row>
    <row r="25" spans="1:44">
      <c r="A25" s="421">
        <f t="shared" si="20"/>
        <v>12</v>
      </c>
      <c r="B25" s="463"/>
      <c r="C25" s="530"/>
      <c r="D25" s="73"/>
      <c r="E25" s="73"/>
      <c r="F25" s="73"/>
      <c r="G25" s="73"/>
      <c r="H25" s="147"/>
      <c r="I25" s="147"/>
      <c r="J25" s="147"/>
      <c r="K25" s="397"/>
      <c r="L25" s="147"/>
      <c r="M25" s="397"/>
      <c r="N25" s="397"/>
      <c r="O25" s="397"/>
      <c r="P25" s="397"/>
      <c r="Q25" s="232"/>
      <c r="R25" s="77" t="str">
        <f t="shared" si="2"/>
        <v/>
      </c>
      <c r="S25" s="286"/>
      <c r="T25" s="533" t="str">
        <f t="shared" si="7"/>
        <v/>
      </c>
      <c r="U25" s="538"/>
      <c r="V25" s="538"/>
      <c r="W25" s="77" t="str">
        <f t="shared" si="8"/>
        <v/>
      </c>
      <c r="X25" s="385" t="str">
        <f t="shared" si="3"/>
        <v/>
      </c>
      <c r="Y25" s="378" t="str">
        <f t="shared" si="9"/>
        <v/>
      </c>
      <c r="Z25" s="231" t="str">
        <f t="shared" si="4"/>
        <v>BAD</v>
      </c>
      <c r="AA25" s="231" t="str">
        <f t="shared" si="5"/>
        <v>B</v>
      </c>
      <c r="AC25" s="263" t="b">
        <f t="shared" si="10"/>
        <v>0</v>
      </c>
      <c r="AD25" t="b">
        <f t="shared" si="11"/>
        <v>0</v>
      </c>
      <c r="AE25" t="b">
        <f t="shared" si="12"/>
        <v>0</v>
      </c>
      <c r="AF25" t="b">
        <f t="shared" si="13"/>
        <v>0</v>
      </c>
      <c r="AG25" t="b">
        <f t="shared" si="14"/>
        <v>0</v>
      </c>
      <c r="AH25" t="b">
        <f t="shared" si="15"/>
        <v>0</v>
      </c>
      <c r="AI25" t="b">
        <f t="shared" si="16"/>
        <v>1</v>
      </c>
      <c r="AJ25" s="363" t="str">
        <f t="shared" si="17"/>
        <v>ללא סיווג</v>
      </c>
      <c r="AK25" t="str">
        <f t="shared" si="18"/>
        <v>ללא סיווג</v>
      </c>
      <c r="AL25" t="str">
        <f t="shared" si="19"/>
        <v/>
      </c>
      <c r="AM25" t="str">
        <f t="shared" si="6"/>
        <v/>
      </c>
      <c r="AN25" t="str">
        <f t="shared" si="6"/>
        <v/>
      </c>
      <c r="AO25" t="str">
        <f t="shared" si="6"/>
        <v/>
      </c>
      <c r="AP25" t="str">
        <f t="shared" si="6"/>
        <v/>
      </c>
      <c r="AQ25" t="str">
        <f t="shared" si="6"/>
        <v/>
      </c>
      <c r="AR25" t="str">
        <f t="shared" si="6"/>
        <v/>
      </c>
    </row>
    <row r="26" spans="1:44">
      <c r="A26" s="421">
        <f t="shared" si="20"/>
        <v>13</v>
      </c>
      <c r="B26" s="424" t="s">
        <v>229</v>
      </c>
      <c r="C26" s="530"/>
      <c r="D26" s="73">
        <v>0</v>
      </c>
      <c r="E26" s="73"/>
      <c r="F26" s="73"/>
      <c r="G26" s="73"/>
      <c r="H26" s="147">
        <v>19</v>
      </c>
      <c r="I26" s="147"/>
      <c r="J26" s="147">
        <v>19</v>
      </c>
      <c r="K26" s="397">
        <v>4</v>
      </c>
      <c r="L26" s="147"/>
      <c r="M26" s="397">
        <v>5</v>
      </c>
      <c r="N26" s="397">
        <v>157</v>
      </c>
      <c r="O26" s="397"/>
      <c r="P26" s="397">
        <v>159</v>
      </c>
      <c r="Q26" s="297">
        <v>1984</v>
      </c>
      <c r="R26" s="77">
        <f t="shared" si="2"/>
        <v>33</v>
      </c>
      <c r="S26" s="286">
        <v>1789103</v>
      </c>
      <c r="T26" s="533" t="str">
        <f t="shared" si="7"/>
        <v>קטן</v>
      </c>
      <c r="U26" s="538"/>
      <c r="V26" s="538"/>
      <c r="W26" s="77" t="str">
        <f t="shared" si="8"/>
        <v>קטן</v>
      </c>
      <c r="X26" s="385">
        <f t="shared" si="3"/>
        <v>0.25</v>
      </c>
      <c r="Y26" s="378" t="str">
        <f t="shared" si="9"/>
        <v>OK</v>
      </c>
      <c r="Z26" s="231" t="str">
        <f t="shared" si="4"/>
        <v>קטן</v>
      </c>
      <c r="AA26" s="231" t="str">
        <f t="shared" si="5"/>
        <v>קטן</v>
      </c>
      <c r="AC26" s="263" t="b">
        <f t="shared" si="10"/>
        <v>0</v>
      </c>
      <c r="AD26" t="b">
        <f t="shared" si="11"/>
        <v>0</v>
      </c>
      <c r="AE26" t="b">
        <f t="shared" si="12"/>
        <v>1</v>
      </c>
      <c r="AF26" t="b">
        <f t="shared" si="13"/>
        <v>0</v>
      </c>
      <c r="AG26" t="b">
        <f t="shared" si="14"/>
        <v>0</v>
      </c>
      <c r="AH26" t="b">
        <f t="shared" si="15"/>
        <v>0</v>
      </c>
      <c r="AI26" t="b">
        <f t="shared" si="16"/>
        <v>1</v>
      </c>
      <c r="AJ26" s="363" t="str">
        <f t="shared" si="17"/>
        <v>קטן</v>
      </c>
      <c r="AK26" t="str">
        <f t="shared" si="18"/>
        <v>ללא סיווג</v>
      </c>
      <c r="AL26" t="str">
        <f t="shared" si="19"/>
        <v>גדול</v>
      </c>
      <c r="AM26" t="str">
        <f t="shared" si="6"/>
        <v>בינוני</v>
      </c>
      <c r="AN26" t="str">
        <f t="shared" si="6"/>
        <v>קטן</v>
      </c>
      <c r="AO26" t="str">
        <f t="shared" si="6"/>
        <v>ילדים גדול</v>
      </c>
      <c r="AP26" t="str">
        <f t="shared" si="6"/>
        <v>ילדים בינוני</v>
      </c>
      <c r="AQ26" t="str">
        <f t="shared" si="6"/>
        <v>ילדים קטן</v>
      </c>
      <c r="AR26" t="str">
        <f t="shared" si="6"/>
        <v>ללא סיווג</v>
      </c>
    </row>
    <row r="27" spans="1:44">
      <c r="A27" s="421">
        <f t="shared" si="20"/>
        <v>14</v>
      </c>
      <c r="B27" s="424" t="s">
        <v>206</v>
      </c>
      <c r="C27" s="530"/>
      <c r="D27" s="73">
        <v>0</v>
      </c>
      <c r="E27" s="73"/>
      <c r="F27" s="73"/>
      <c r="G27" s="73"/>
      <c r="H27" s="147">
        <v>10</v>
      </c>
      <c r="I27" s="147"/>
      <c r="J27" s="147">
        <v>8</v>
      </c>
      <c r="K27" s="397">
        <v>6.2</v>
      </c>
      <c r="L27" s="147"/>
      <c r="M27" s="397">
        <v>5</v>
      </c>
      <c r="N27" s="397">
        <v>224</v>
      </c>
      <c r="O27" s="397"/>
      <c r="P27" s="397">
        <v>263</v>
      </c>
      <c r="Q27" s="297">
        <v>2005</v>
      </c>
      <c r="R27" s="77">
        <f t="shared" si="2"/>
        <v>12</v>
      </c>
      <c r="S27" s="286">
        <v>1706448</v>
      </c>
      <c r="T27" s="533" t="str">
        <f t="shared" si="7"/>
        <v>קטן</v>
      </c>
      <c r="U27" s="538"/>
      <c r="V27" s="538"/>
      <c r="W27" s="77" t="str">
        <f t="shared" si="8"/>
        <v>קטן</v>
      </c>
      <c r="X27" s="385">
        <f t="shared" si="3"/>
        <v>0.25</v>
      </c>
      <c r="Y27" s="378" t="str">
        <f t="shared" si="9"/>
        <v>OK</v>
      </c>
      <c r="Z27" s="231" t="str">
        <f t="shared" si="4"/>
        <v>קטן</v>
      </c>
      <c r="AA27" s="231" t="str">
        <f t="shared" si="5"/>
        <v>קטן</v>
      </c>
      <c r="AC27" s="263" t="b">
        <f t="shared" si="10"/>
        <v>0</v>
      </c>
      <c r="AD27" t="b">
        <f t="shared" si="11"/>
        <v>0</v>
      </c>
      <c r="AE27" t="b">
        <f t="shared" si="12"/>
        <v>1</v>
      </c>
      <c r="AF27" t="b">
        <f t="shared" si="13"/>
        <v>0</v>
      </c>
      <c r="AG27" t="b">
        <f t="shared" si="14"/>
        <v>0</v>
      </c>
      <c r="AH27" t="b">
        <f t="shared" si="15"/>
        <v>0</v>
      </c>
      <c r="AI27" t="b">
        <f t="shared" si="16"/>
        <v>1</v>
      </c>
      <c r="AJ27" s="363" t="str">
        <f t="shared" si="17"/>
        <v>קטן</v>
      </c>
      <c r="AK27" t="str">
        <f t="shared" si="18"/>
        <v>ללא סיווג</v>
      </c>
      <c r="AL27" t="str">
        <f t="shared" si="19"/>
        <v>גדול</v>
      </c>
      <c r="AM27" t="str">
        <f t="shared" si="6"/>
        <v>בינוני</v>
      </c>
      <c r="AN27" t="str">
        <f t="shared" si="6"/>
        <v>קטן</v>
      </c>
      <c r="AO27" t="str">
        <f t="shared" si="6"/>
        <v>ילדים גדול</v>
      </c>
      <c r="AP27" t="str">
        <f t="shared" si="6"/>
        <v>ילדים בינוני</v>
      </c>
      <c r="AQ27" t="str">
        <f t="shared" si="6"/>
        <v>ילדים קטן</v>
      </c>
      <c r="AR27" t="str">
        <f t="shared" si="6"/>
        <v>ללא סיווג</v>
      </c>
    </row>
    <row r="28" spans="1:44">
      <c r="A28" s="421">
        <f t="shared" si="20"/>
        <v>15</v>
      </c>
      <c r="B28" s="424" t="s">
        <v>323</v>
      </c>
      <c r="C28" s="530"/>
      <c r="D28" s="73">
        <v>0</v>
      </c>
      <c r="E28" s="73"/>
      <c r="F28" s="73"/>
      <c r="G28" s="73"/>
      <c r="H28" s="147">
        <v>20</v>
      </c>
      <c r="I28" s="147"/>
      <c r="J28" s="147">
        <v>17</v>
      </c>
      <c r="K28" s="397">
        <v>1.8</v>
      </c>
      <c r="L28" s="147"/>
      <c r="M28" s="397">
        <v>2.7</v>
      </c>
      <c r="N28" s="397">
        <v>183</v>
      </c>
      <c r="O28" s="397"/>
      <c r="P28" s="397">
        <v>133</v>
      </c>
      <c r="Q28" s="297">
        <v>1994</v>
      </c>
      <c r="R28" s="77">
        <f t="shared" si="2"/>
        <v>23</v>
      </c>
      <c r="S28" s="287">
        <v>2827829</v>
      </c>
      <c r="T28" s="534" t="str">
        <f t="shared" si="7"/>
        <v>ללא סיווג</v>
      </c>
      <c r="U28" s="539">
        <v>1</v>
      </c>
      <c r="V28" s="539"/>
      <c r="W28" s="77" t="str">
        <f t="shared" si="8"/>
        <v>קטן</v>
      </c>
      <c r="X28" s="385">
        <f t="shared" si="3"/>
        <v>0.25</v>
      </c>
      <c r="Y28" s="378" t="str">
        <f t="shared" si="9"/>
        <v>OK</v>
      </c>
      <c r="Z28" s="231" t="str">
        <f t="shared" si="4"/>
        <v>קטן</v>
      </c>
      <c r="AA28" s="231" t="str">
        <f t="shared" si="5"/>
        <v>קטן</v>
      </c>
      <c r="AC28" s="263" t="b">
        <f>AND(H28&gt;=$H$4,J28&gt;=$J$4,K28&gt;=$K$4,M28&gt;=$M$4,N28&gt;=$N$4,P28&gt;=$P$4,R28&gt;=$R$4,S28&gt;=$S$4,D28=0)</f>
        <v>0</v>
      </c>
      <c r="AD28" t="b">
        <f t="shared" si="11"/>
        <v>0</v>
      </c>
      <c r="AE28" t="b">
        <f t="shared" si="12"/>
        <v>0</v>
      </c>
      <c r="AF28" t="b">
        <f t="shared" si="13"/>
        <v>0</v>
      </c>
      <c r="AG28" t="b">
        <f t="shared" si="14"/>
        <v>0</v>
      </c>
      <c r="AH28" t="b">
        <f t="shared" si="15"/>
        <v>0</v>
      </c>
      <c r="AI28" t="b">
        <f t="shared" si="16"/>
        <v>1</v>
      </c>
      <c r="AJ28" s="363" t="str">
        <f t="shared" si="17"/>
        <v>ללא סיווג</v>
      </c>
      <c r="AK28" t="str">
        <f t="shared" si="18"/>
        <v>ללא סיווג</v>
      </c>
      <c r="AL28" t="str">
        <f t="shared" si="19"/>
        <v>גדול</v>
      </c>
      <c r="AM28" t="str">
        <f t="shared" si="6"/>
        <v>בינוני</v>
      </c>
      <c r="AN28" t="str">
        <f t="shared" si="6"/>
        <v>קטן</v>
      </c>
      <c r="AO28" t="str">
        <f t="shared" si="6"/>
        <v>ילדים גדול</v>
      </c>
      <c r="AP28" t="str">
        <f t="shared" si="6"/>
        <v>ילדים בינוני</v>
      </c>
      <c r="AQ28" t="str">
        <f t="shared" si="6"/>
        <v>ילדים קטן</v>
      </c>
      <c r="AR28" t="str">
        <f t="shared" si="6"/>
        <v>ללא סיווג</v>
      </c>
    </row>
    <row r="29" spans="1:44">
      <c r="A29" s="421">
        <f t="shared" si="20"/>
        <v>16</v>
      </c>
      <c r="B29" s="424"/>
      <c r="C29" s="530"/>
      <c r="D29" s="73"/>
      <c r="E29" s="73"/>
      <c r="F29" s="73"/>
      <c r="G29" s="73"/>
      <c r="H29" s="147"/>
      <c r="I29" s="147"/>
      <c r="J29" s="147"/>
      <c r="K29" s="397"/>
      <c r="L29" s="147"/>
      <c r="M29" s="397"/>
      <c r="N29" s="397"/>
      <c r="O29" s="397"/>
      <c r="P29" s="397"/>
      <c r="Q29" s="232"/>
      <c r="R29" s="77" t="str">
        <f t="shared" si="2"/>
        <v/>
      </c>
      <c r="S29" s="286"/>
      <c r="T29" s="533" t="str">
        <f t="shared" si="7"/>
        <v/>
      </c>
      <c r="U29" s="538"/>
      <c r="V29" s="538"/>
      <c r="W29" s="77" t="str">
        <f t="shared" si="8"/>
        <v/>
      </c>
      <c r="X29" s="385" t="str">
        <f t="shared" si="3"/>
        <v/>
      </c>
      <c r="Y29" s="378" t="str">
        <f t="shared" si="9"/>
        <v/>
      </c>
      <c r="Z29" s="231" t="str">
        <f t="shared" si="4"/>
        <v>BAD</v>
      </c>
      <c r="AA29" s="231" t="str">
        <f t="shared" si="5"/>
        <v>B</v>
      </c>
      <c r="AC29" s="263" t="b">
        <f t="shared" si="10"/>
        <v>0</v>
      </c>
      <c r="AD29" t="b">
        <f t="shared" si="11"/>
        <v>0</v>
      </c>
      <c r="AE29" t="b">
        <f t="shared" si="12"/>
        <v>0</v>
      </c>
      <c r="AF29" t="b">
        <f t="shared" si="13"/>
        <v>0</v>
      </c>
      <c r="AG29" t="b">
        <f t="shared" si="14"/>
        <v>0</v>
      </c>
      <c r="AH29" t="b">
        <f t="shared" si="15"/>
        <v>0</v>
      </c>
      <c r="AI29" t="b">
        <f t="shared" si="16"/>
        <v>1</v>
      </c>
      <c r="AJ29" s="363" t="str">
        <f t="shared" si="17"/>
        <v>ללא סיווג</v>
      </c>
      <c r="AK29" t="str">
        <f t="shared" si="18"/>
        <v>ללא סיווג</v>
      </c>
      <c r="AL29" t="str">
        <f t="shared" si="19"/>
        <v/>
      </c>
      <c r="AM29" t="str">
        <f t="shared" si="6"/>
        <v/>
      </c>
      <c r="AN29" t="str">
        <f t="shared" si="6"/>
        <v/>
      </c>
      <c r="AO29" t="str">
        <f t="shared" si="6"/>
        <v/>
      </c>
      <c r="AP29" t="str">
        <f t="shared" si="6"/>
        <v/>
      </c>
      <c r="AQ29" t="str">
        <f t="shared" si="6"/>
        <v/>
      </c>
      <c r="AR29" t="str">
        <f t="shared" si="6"/>
        <v/>
      </c>
    </row>
    <row r="30" spans="1:44">
      <c r="A30" s="421">
        <f t="shared" si="20"/>
        <v>17</v>
      </c>
      <c r="B30" s="424" t="s">
        <v>230</v>
      </c>
      <c r="C30" s="530"/>
      <c r="D30" s="73">
        <v>0</v>
      </c>
      <c r="E30" s="73"/>
      <c r="F30" s="73"/>
      <c r="G30" s="73"/>
      <c r="H30" s="147">
        <v>17</v>
      </c>
      <c r="I30" s="147"/>
      <c r="J30" s="147">
        <v>18</v>
      </c>
      <c r="K30" s="397">
        <v>5</v>
      </c>
      <c r="L30" s="147"/>
      <c r="M30" s="397">
        <v>4</v>
      </c>
      <c r="N30" s="397">
        <v>191</v>
      </c>
      <c r="O30" s="397"/>
      <c r="P30" s="397">
        <v>229</v>
      </c>
      <c r="Q30" s="232">
        <v>2008</v>
      </c>
      <c r="R30" s="77">
        <f t="shared" si="2"/>
        <v>9</v>
      </c>
      <c r="S30" s="286">
        <v>3624840</v>
      </c>
      <c r="T30" s="533" t="str">
        <f t="shared" si="7"/>
        <v>קטן</v>
      </c>
      <c r="U30" s="538"/>
      <c r="V30" s="538"/>
      <c r="W30" s="77" t="str">
        <f t="shared" si="8"/>
        <v>קטן</v>
      </c>
      <c r="X30" s="385">
        <f t="shared" si="3"/>
        <v>0.25</v>
      </c>
      <c r="Y30" s="378" t="str">
        <f t="shared" si="9"/>
        <v>OK</v>
      </c>
      <c r="Z30" s="231" t="str">
        <f t="shared" si="4"/>
        <v>קטן</v>
      </c>
      <c r="AA30" s="231" t="str">
        <f t="shared" si="5"/>
        <v>קטן</v>
      </c>
      <c r="AC30" s="263" t="b">
        <f t="shared" si="10"/>
        <v>0</v>
      </c>
      <c r="AD30" t="b">
        <f t="shared" si="11"/>
        <v>0</v>
      </c>
      <c r="AE30" t="b">
        <f t="shared" si="12"/>
        <v>1</v>
      </c>
      <c r="AF30" t="b">
        <f t="shared" si="13"/>
        <v>0</v>
      </c>
      <c r="AG30" t="b">
        <f t="shared" si="14"/>
        <v>0</v>
      </c>
      <c r="AH30" t="b">
        <f t="shared" si="15"/>
        <v>0</v>
      </c>
      <c r="AI30" t="b">
        <f t="shared" si="16"/>
        <v>1</v>
      </c>
      <c r="AJ30" s="363" t="str">
        <f t="shared" si="17"/>
        <v>קטן</v>
      </c>
      <c r="AK30" t="str">
        <f t="shared" si="18"/>
        <v>ללא סיווג</v>
      </c>
      <c r="AL30" t="str">
        <f t="shared" si="19"/>
        <v>גדול</v>
      </c>
      <c r="AM30" t="str">
        <f t="shared" si="19"/>
        <v>בינוני</v>
      </c>
      <c r="AN30" t="str">
        <f t="shared" si="19"/>
        <v>קטן</v>
      </c>
      <c r="AO30" t="str">
        <f t="shared" si="19"/>
        <v>ילדים גדול</v>
      </c>
      <c r="AP30" t="str">
        <f t="shared" si="19"/>
        <v>ילדים בינוני</v>
      </c>
      <c r="AQ30" t="str">
        <f t="shared" si="19"/>
        <v>ילדים קטן</v>
      </c>
      <c r="AR30" t="str">
        <f t="shared" si="19"/>
        <v>ללא סיווג</v>
      </c>
    </row>
    <row r="31" spans="1:44">
      <c r="A31" s="421">
        <f t="shared" si="20"/>
        <v>18</v>
      </c>
      <c r="B31" s="424" t="s">
        <v>185</v>
      </c>
      <c r="C31" s="530"/>
      <c r="D31" s="73">
        <v>1</v>
      </c>
      <c r="E31" s="73"/>
      <c r="F31" s="73"/>
      <c r="G31" s="73"/>
      <c r="H31" s="147">
        <v>48</v>
      </c>
      <c r="I31" s="147"/>
      <c r="J31" s="147">
        <v>49</v>
      </c>
      <c r="K31" s="397">
        <v>7</v>
      </c>
      <c r="L31" s="147"/>
      <c r="M31" s="397">
        <v>8</v>
      </c>
      <c r="N31" s="397">
        <v>1912</v>
      </c>
      <c r="O31" s="397"/>
      <c r="P31" s="397">
        <v>2075</v>
      </c>
      <c r="Q31" s="297">
        <v>1971</v>
      </c>
      <c r="R31" s="77">
        <f t="shared" si="2"/>
        <v>46</v>
      </c>
      <c r="S31" s="286">
        <v>22742228</v>
      </c>
      <c r="T31" s="533" t="str">
        <f t="shared" si="7"/>
        <v>ילדים גדול</v>
      </c>
      <c r="U31" s="538"/>
      <c r="V31" s="538"/>
      <c r="W31" s="77" t="str">
        <f t="shared" si="8"/>
        <v>ילדים גדול</v>
      </c>
      <c r="X31" s="385">
        <f t="shared" si="3"/>
        <v>0.6</v>
      </c>
      <c r="Y31" s="378" t="str">
        <f t="shared" si="9"/>
        <v>OK</v>
      </c>
      <c r="Z31" s="231" t="str">
        <f t="shared" si="4"/>
        <v>ילדים גדול</v>
      </c>
      <c r="AA31" s="231" t="str">
        <f t="shared" si="5"/>
        <v>ילדים גדול</v>
      </c>
      <c r="AC31" s="263" t="b">
        <f t="shared" si="10"/>
        <v>0</v>
      </c>
      <c r="AD31" t="b">
        <f t="shared" si="11"/>
        <v>0</v>
      </c>
      <c r="AE31" t="b">
        <f t="shared" si="12"/>
        <v>0</v>
      </c>
      <c r="AF31" t="b">
        <f t="shared" si="13"/>
        <v>1</v>
      </c>
      <c r="AG31" t="b">
        <f t="shared" si="14"/>
        <v>1</v>
      </c>
      <c r="AH31" t="b">
        <f t="shared" si="15"/>
        <v>1</v>
      </c>
      <c r="AI31" t="b">
        <f t="shared" si="16"/>
        <v>1</v>
      </c>
      <c r="AJ31" s="363" t="str">
        <f t="shared" si="17"/>
        <v>ללא סיווג</v>
      </c>
      <c r="AK31" t="str">
        <f t="shared" si="18"/>
        <v>ילדים גדול</v>
      </c>
      <c r="AL31" t="str">
        <f t="shared" si="19"/>
        <v>גדול</v>
      </c>
      <c r="AM31" t="str">
        <f t="shared" si="19"/>
        <v>בינוני</v>
      </c>
      <c r="AN31" t="str">
        <f t="shared" si="19"/>
        <v>קטן</v>
      </c>
      <c r="AO31" t="str">
        <f t="shared" si="19"/>
        <v>ילדים גדול</v>
      </c>
      <c r="AP31" t="str">
        <f t="shared" si="19"/>
        <v>ילדים בינוני</v>
      </c>
      <c r="AQ31" t="str">
        <f t="shared" si="19"/>
        <v>ילדים קטן</v>
      </c>
      <c r="AR31" t="str">
        <f t="shared" si="19"/>
        <v>ללא סיווג</v>
      </c>
    </row>
    <row r="32" spans="1:44">
      <c r="A32" s="421">
        <f t="shared" si="20"/>
        <v>19</v>
      </c>
      <c r="B32" s="424" t="s">
        <v>186</v>
      </c>
      <c r="C32" s="530"/>
      <c r="D32" s="73">
        <v>1</v>
      </c>
      <c r="E32" s="73"/>
      <c r="F32" s="73"/>
      <c r="G32" s="73"/>
      <c r="H32" s="147">
        <v>41</v>
      </c>
      <c r="I32" s="147"/>
      <c r="J32" s="147">
        <v>45</v>
      </c>
      <c r="K32" s="397">
        <v>7.2</v>
      </c>
      <c r="L32" s="147"/>
      <c r="M32" s="397">
        <v>6.7</v>
      </c>
      <c r="N32" s="397">
        <v>1414</v>
      </c>
      <c r="O32" s="397"/>
      <c r="P32" s="397">
        <v>1450</v>
      </c>
      <c r="Q32" s="297">
        <v>1992</v>
      </c>
      <c r="R32" s="77">
        <f t="shared" si="2"/>
        <v>25</v>
      </c>
      <c r="S32" s="286">
        <v>13521152</v>
      </c>
      <c r="T32" s="533" t="str">
        <f t="shared" si="7"/>
        <v>ילדים גדול</v>
      </c>
      <c r="U32" s="538"/>
      <c r="V32" s="538"/>
      <c r="W32" s="77" t="str">
        <f t="shared" si="8"/>
        <v>ילדים גדול</v>
      </c>
      <c r="X32" s="385">
        <f t="shared" si="3"/>
        <v>0.6</v>
      </c>
      <c r="Y32" s="378" t="str">
        <f t="shared" si="9"/>
        <v>OK</v>
      </c>
      <c r="Z32" s="231" t="str">
        <f t="shared" si="4"/>
        <v>ילדים גדול</v>
      </c>
      <c r="AA32" s="231" t="str">
        <f t="shared" si="5"/>
        <v>ילדים גדול</v>
      </c>
      <c r="AC32" s="263" t="b">
        <f t="shared" si="10"/>
        <v>0</v>
      </c>
      <c r="AD32" t="b">
        <f t="shared" si="11"/>
        <v>0</v>
      </c>
      <c r="AE32" t="b">
        <f t="shared" si="12"/>
        <v>0</v>
      </c>
      <c r="AF32" t="b">
        <f t="shared" si="13"/>
        <v>1</v>
      </c>
      <c r="AG32" t="b">
        <f t="shared" si="14"/>
        <v>1</v>
      </c>
      <c r="AH32" t="b">
        <f t="shared" si="15"/>
        <v>1</v>
      </c>
      <c r="AI32" t="b">
        <f t="shared" si="16"/>
        <v>1</v>
      </c>
      <c r="AJ32" s="363" t="str">
        <f t="shared" si="17"/>
        <v>ללא סיווג</v>
      </c>
      <c r="AK32" t="str">
        <f t="shared" si="18"/>
        <v>ילדים גדול</v>
      </c>
      <c r="AL32" t="str">
        <f t="shared" si="19"/>
        <v>גדול</v>
      </c>
      <c r="AM32" t="str">
        <f t="shared" si="19"/>
        <v>בינוני</v>
      </c>
      <c r="AN32" t="str">
        <f t="shared" si="19"/>
        <v>קטן</v>
      </c>
      <c r="AO32" t="str">
        <f t="shared" si="19"/>
        <v>ילדים גדול</v>
      </c>
      <c r="AP32" t="str">
        <f t="shared" si="19"/>
        <v>ילדים בינוני</v>
      </c>
      <c r="AQ32" t="str">
        <f t="shared" si="19"/>
        <v>ילדים קטן</v>
      </c>
      <c r="AR32" t="str">
        <f t="shared" si="19"/>
        <v>ללא סיווג</v>
      </c>
    </row>
    <row r="33" spans="1:44">
      <c r="A33" s="421">
        <f t="shared" si="20"/>
        <v>20</v>
      </c>
      <c r="B33" s="424" t="s">
        <v>207</v>
      </c>
      <c r="C33" s="530"/>
      <c r="D33" s="73">
        <v>1</v>
      </c>
      <c r="E33" s="73"/>
      <c r="F33" s="73"/>
      <c r="G33" s="73"/>
      <c r="H33" s="147">
        <v>21</v>
      </c>
      <c r="I33" s="147"/>
      <c r="J33" s="147">
        <v>23</v>
      </c>
      <c r="K33" s="397">
        <v>2.5</v>
      </c>
      <c r="L33" s="147"/>
      <c r="M33" s="397">
        <v>3</v>
      </c>
      <c r="N33" s="397">
        <v>370</v>
      </c>
      <c r="O33" s="397"/>
      <c r="P33" s="397">
        <v>449</v>
      </c>
      <c r="Q33" s="297">
        <v>1987</v>
      </c>
      <c r="R33" s="77">
        <f t="shared" si="2"/>
        <v>30</v>
      </c>
      <c r="S33" s="286">
        <v>4297176</v>
      </c>
      <c r="T33" s="533" t="str">
        <f t="shared" si="7"/>
        <v>ילדים קטן</v>
      </c>
      <c r="U33" s="538"/>
      <c r="V33" s="538"/>
      <c r="W33" s="77" t="str">
        <f t="shared" si="8"/>
        <v>ילדים קטן</v>
      </c>
      <c r="X33" s="385">
        <f t="shared" si="3"/>
        <v>0.2</v>
      </c>
      <c r="Y33" s="378" t="str">
        <f t="shared" si="9"/>
        <v>OK</v>
      </c>
      <c r="Z33" s="231" t="str">
        <f t="shared" si="4"/>
        <v>ילדים קטן</v>
      </c>
      <c r="AA33" s="231" t="str">
        <f t="shared" si="5"/>
        <v>ילדים קטן</v>
      </c>
      <c r="AC33" s="263" t="b">
        <f t="shared" si="10"/>
        <v>0</v>
      </c>
      <c r="AD33" t="b">
        <f t="shared" si="11"/>
        <v>0</v>
      </c>
      <c r="AE33" t="b">
        <f t="shared" si="12"/>
        <v>0</v>
      </c>
      <c r="AF33" t="b">
        <f t="shared" si="13"/>
        <v>0</v>
      </c>
      <c r="AG33" t="b">
        <f t="shared" si="14"/>
        <v>0</v>
      </c>
      <c r="AH33" t="b">
        <f t="shared" si="15"/>
        <v>1</v>
      </c>
      <c r="AI33" t="b">
        <f t="shared" si="16"/>
        <v>1</v>
      </c>
      <c r="AJ33" s="363" t="str">
        <f t="shared" si="17"/>
        <v>ללא סיווג</v>
      </c>
      <c r="AK33" t="str">
        <f t="shared" si="18"/>
        <v>ילדים קטן</v>
      </c>
      <c r="AL33" t="str">
        <f t="shared" si="19"/>
        <v>גדול</v>
      </c>
      <c r="AM33" t="str">
        <f t="shared" si="19"/>
        <v>בינוני</v>
      </c>
      <c r="AN33" t="str">
        <f t="shared" si="19"/>
        <v>קטן</v>
      </c>
      <c r="AO33" t="str">
        <f t="shared" si="19"/>
        <v>ילדים גדול</v>
      </c>
      <c r="AP33" t="str">
        <f t="shared" si="19"/>
        <v>ילדים בינוני</v>
      </c>
      <c r="AQ33" t="str">
        <f t="shared" si="19"/>
        <v>ילדים קטן</v>
      </c>
      <c r="AR33" t="str">
        <f t="shared" si="19"/>
        <v>ללא סיווג</v>
      </c>
    </row>
    <row r="34" spans="1:44" s="279" customFormat="1">
      <c r="A34" s="421">
        <f t="shared" si="20"/>
        <v>21</v>
      </c>
      <c r="B34" s="426" t="s">
        <v>191</v>
      </c>
      <c r="C34" s="530"/>
      <c r="D34" s="73">
        <v>1</v>
      </c>
      <c r="E34" s="277"/>
      <c r="F34" s="277"/>
      <c r="G34" s="277"/>
      <c r="H34" s="147">
        <v>46</v>
      </c>
      <c r="I34" s="147"/>
      <c r="J34" s="147">
        <v>46</v>
      </c>
      <c r="K34" s="397">
        <v>3</v>
      </c>
      <c r="L34" s="147"/>
      <c r="M34" s="397">
        <v>4</v>
      </c>
      <c r="N34" s="397">
        <v>784</v>
      </c>
      <c r="O34" s="397"/>
      <c r="P34" s="397">
        <v>892</v>
      </c>
      <c r="Q34" s="298">
        <v>1981</v>
      </c>
      <c r="R34" s="77">
        <f t="shared" si="2"/>
        <v>36</v>
      </c>
      <c r="S34" s="287">
        <v>5301226</v>
      </c>
      <c r="T34" s="534" t="str">
        <f t="shared" si="7"/>
        <v>ילדים קטן</v>
      </c>
      <c r="U34" s="539"/>
      <c r="V34" s="539"/>
      <c r="W34" s="77" t="str">
        <f t="shared" si="8"/>
        <v>ילדים קטן</v>
      </c>
      <c r="X34" s="386">
        <f t="shared" si="3"/>
        <v>0.2</v>
      </c>
      <c r="Y34" s="379" t="str">
        <f t="shared" si="9"/>
        <v>OK</v>
      </c>
      <c r="Z34" s="278" t="str">
        <f t="shared" si="4"/>
        <v>ילדים קטן</v>
      </c>
      <c r="AA34" s="278" t="str">
        <f t="shared" si="5"/>
        <v>ילדים קטן</v>
      </c>
      <c r="AC34" s="263" t="b">
        <f t="shared" si="10"/>
        <v>0</v>
      </c>
      <c r="AD34" t="b">
        <f t="shared" si="11"/>
        <v>0</v>
      </c>
      <c r="AE34" t="b">
        <f t="shared" si="12"/>
        <v>0</v>
      </c>
      <c r="AF34" t="b">
        <f t="shared" si="13"/>
        <v>0</v>
      </c>
      <c r="AG34" t="b">
        <f t="shared" si="14"/>
        <v>0</v>
      </c>
      <c r="AH34" t="b">
        <f t="shared" si="15"/>
        <v>1</v>
      </c>
      <c r="AI34" t="b">
        <f t="shared" si="16"/>
        <v>1</v>
      </c>
      <c r="AJ34" s="363" t="str">
        <f t="shared" si="17"/>
        <v>ללא סיווג</v>
      </c>
      <c r="AK34" t="str">
        <f t="shared" si="18"/>
        <v>ילדים קטן</v>
      </c>
      <c r="AL34" t="str">
        <f t="shared" si="19"/>
        <v>גדול</v>
      </c>
      <c r="AM34" t="str">
        <f t="shared" si="19"/>
        <v>בינוני</v>
      </c>
      <c r="AN34" t="str">
        <f t="shared" si="19"/>
        <v>קטן</v>
      </c>
      <c r="AO34" t="str">
        <f t="shared" si="19"/>
        <v>ילדים גדול</v>
      </c>
      <c r="AP34" t="str">
        <f t="shared" si="19"/>
        <v>ילדים בינוני</v>
      </c>
      <c r="AQ34" t="str">
        <f t="shared" si="19"/>
        <v>ילדים קטן</v>
      </c>
      <c r="AR34" t="str">
        <f t="shared" si="19"/>
        <v>ללא סיווג</v>
      </c>
    </row>
    <row r="35" spans="1:44">
      <c r="A35" s="421">
        <f t="shared" si="20"/>
        <v>22</v>
      </c>
      <c r="B35" s="424" t="s">
        <v>187</v>
      </c>
      <c r="C35" s="530"/>
      <c r="D35" s="73">
        <v>1</v>
      </c>
      <c r="E35" s="73"/>
      <c r="F35" s="73"/>
      <c r="G35" s="73"/>
      <c r="H35" s="147">
        <v>17</v>
      </c>
      <c r="I35" s="147"/>
      <c r="J35" s="147">
        <v>16</v>
      </c>
      <c r="K35" s="397">
        <v>2</v>
      </c>
      <c r="L35" s="147"/>
      <c r="M35" s="397">
        <v>2</v>
      </c>
      <c r="N35" s="397">
        <v>282</v>
      </c>
      <c r="O35" s="397"/>
      <c r="P35" s="397">
        <v>264</v>
      </c>
      <c r="Q35" s="297">
        <v>1983</v>
      </c>
      <c r="R35" s="77">
        <f t="shared" si="2"/>
        <v>34</v>
      </c>
      <c r="S35" s="286">
        <v>2712342</v>
      </c>
      <c r="T35" s="533" t="str">
        <f t="shared" si="7"/>
        <v>ילדים קטן</v>
      </c>
      <c r="U35" s="538"/>
      <c r="V35" s="538"/>
      <c r="W35" s="77" t="str">
        <f t="shared" si="8"/>
        <v>ילדים קטן</v>
      </c>
      <c r="X35" s="385">
        <f t="shared" si="3"/>
        <v>0.2</v>
      </c>
      <c r="Y35" s="378" t="str">
        <f t="shared" si="9"/>
        <v>OK</v>
      </c>
      <c r="Z35" s="231" t="str">
        <f t="shared" si="4"/>
        <v>ילדים קטן</v>
      </c>
      <c r="AA35" s="231" t="str">
        <f t="shared" si="5"/>
        <v>ילדים קטן</v>
      </c>
      <c r="AC35" s="263" t="b">
        <f t="shared" si="10"/>
        <v>0</v>
      </c>
      <c r="AD35" t="b">
        <f t="shared" si="11"/>
        <v>0</v>
      </c>
      <c r="AE35" t="b">
        <f t="shared" si="12"/>
        <v>0</v>
      </c>
      <c r="AF35" t="b">
        <f t="shared" si="13"/>
        <v>0</v>
      </c>
      <c r="AG35" t="b">
        <f t="shared" si="14"/>
        <v>0</v>
      </c>
      <c r="AH35" t="b">
        <f t="shared" si="15"/>
        <v>1</v>
      </c>
      <c r="AI35" t="b">
        <f t="shared" si="16"/>
        <v>1</v>
      </c>
      <c r="AJ35" s="363" t="str">
        <f t="shared" si="17"/>
        <v>ללא סיווג</v>
      </c>
      <c r="AK35" t="str">
        <f t="shared" si="18"/>
        <v>ילדים קטן</v>
      </c>
      <c r="AL35" t="str">
        <f t="shared" si="19"/>
        <v>גדול</v>
      </c>
      <c r="AM35" t="str">
        <f t="shared" si="19"/>
        <v>בינוני</v>
      </c>
      <c r="AN35" t="str">
        <f t="shared" si="19"/>
        <v>קטן</v>
      </c>
      <c r="AO35" t="str">
        <f t="shared" si="19"/>
        <v>ילדים גדול</v>
      </c>
      <c r="AP35" t="str">
        <f t="shared" si="19"/>
        <v>ילדים בינוני</v>
      </c>
      <c r="AQ35" t="str">
        <f t="shared" si="19"/>
        <v>ילדים קטן</v>
      </c>
      <c r="AR35" t="str">
        <f t="shared" si="19"/>
        <v>ללא סיווג</v>
      </c>
    </row>
    <row r="36" spans="1:44">
      <c r="A36" s="421">
        <f t="shared" si="20"/>
        <v>23</v>
      </c>
      <c r="B36" s="424" t="s">
        <v>188</v>
      </c>
      <c r="C36" s="530"/>
      <c r="D36" s="73">
        <v>1</v>
      </c>
      <c r="E36" s="73"/>
      <c r="F36" s="73"/>
      <c r="G36" s="73"/>
      <c r="H36" s="147">
        <v>22</v>
      </c>
      <c r="I36" s="147"/>
      <c r="J36" s="147">
        <v>24</v>
      </c>
      <c r="K36" s="397">
        <v>4.5</v>
      </c>
      <c r="L36" s="147"/>
      <c r="M36" s="397">
        <v>3.5</v>
      </c>
      <c r="N36" s="397">
        <v>361</v>
      </c>
      <c r="O36" s="397"/>
      <c r="P36" s="397">
        <v>348</v>
      </c>
      <c r="Q36" s="297">
        <v>1986</v>
      </c>
      <c r="R36" s="77">
        <f t="shared" si="2"/>
        <v>31</v>
      </c>
      <c r="S36" s="286">
        <v>3189868</v>
      </c>
      <c r="T36" s="533" t="str">
        <f t="shared" si="7"/>
        <v>ילדים קטן</v>
      </c>
      <c r="U36" s="538"/>
      <c r="V36" s="538"/>
      <c r="W36" s="77" t="str">
        <f t="shared" si="8"/>
        <v>ילדים קטן</v>
      </c>
      <c r="X36" s="385">
        <f t="shared" si="3"/>
        <v>0.2</v>
      </c>
      <c r="Y36" s="378" t="str">
        <f t="shared" si="9"/>
        <v>OK</v>
      </c>
      <c r="Z36" s="231" t="str">
        <f t="shared" si="4"/>
        <v>ילדים קטן</v>
      </c>
      <c r="AA36" s="231" t="str">
        <f t="shared" si="5"/>
        <v>ילדים קטן</v>
      </c>
      <c r="AC36" s="263" t="b">
        <f t="shared" si="10"/>
        <v>0</v>
      </c>
      <c r="AD36" t="b">
        <f t="shared" si="11"/>
        <v>0</v>
      </c>
      <c r="AE36" t="b">
        <f t="shared" si="12"/>
        <v>0</v>
      </c>
      <c r="AF36" t="b">
        <f t="shared" si="13"/>
        <v>0</v>
      </c>
      <c r="AG36" t="b">
        <f t="shared" si="14"/>
        <v>0</v>
      </c>
      <c r="AH36" t="b">
        <f t="shared" si="15"/>
        <v>1</v>
      </c>
      <c r="AI36" t="b">
        <f t="shared" si="16"/>
        <v>1</v>
      </c>
      <c r="AJ36" s="363" t="str">
        <f t="shared" si="17"/>
        <v>ללא סיווג</v>
      </c>
      <c r="AK36" t="str">
        <f t="shared" si="18"/>
        <v>ילדים קטן</v>
      </c>
      <c r="AL36" t="str">
        <f t="shared" si="19"/>
        <v>גדול</v>
      </c>
      <c r="AM36" t="str">
        <f t="shared" si="19"/>
        <v>בינוני</v>
      </c>
      <c r="AN36" t="str">
        <f t="shared" si="19"/>
        <v>קטן</v>
      </c>
      <c r="AO36" t="str">
        <f t="shared" si="19"/>
        <v>ילדים גדול</v>
      </c>
      <c r="AP36" t="str">
        <f t="shared" si="19"/>
        <v>ילדים בינוני</v>
      </c>
      <c r="AQ36" t="str">
        <f t="shared" si="19"/>
        <v>ילדים קטן</v>
      </c>
      <c r="AR36" t="str">
        <f t="shared" si="19"/>
        <v>ללא סיווג</v>
      </c>
    </row>
    <row r="37" spans="1:44">
      <c r="A37" s="421">
        <f t="shared" si="20"/>
        <v>24</v>
      </c>
      <c r="B37" s="424" t="s">
        <v>189</v>
      </c>
      <c r="C37" s="530"/>
      <c r="D37" s="73">
        <v>1</v>
      </c>
      <c r="E37" s="73"/>
      <c r="F37" s="73"/>
      <c r="G37" s="73"/>
      <c r="H37" s="147">
        <v>27</v>
      </c>
      <c r="I37" s="147"/>
      <c r="J37" s="147">
        <v>28</v>
      </c>
      <c r="K37" s="397">
        <v>5</v>
      </c>
      <c r="L37" s="147"/>
      <c r="M37" s="397">
        <v>7</v>
      </c>
      <c r="N37" s="397">
        <v>1664</v>
      </c>
      <c r="O37" s="397"/>
      <c r="P37" s="397">
        <v>2207</v>
      </c>
      <c r="Q37" s="297">
        <v>1996</v>
      </c>
      <c r="R37" s="77">
        <f t="shared" si="2"/>
        <v>21</v>
      </c>
      <c r="S37" s="286">
        <v>12985554</v>
      </c>
      <c r="T37" s="533" t="str">
        <f t="shared" si="7"/>
        <v>ילדים גדול</v>
      </c>
      <c r="U37" s="538"/>
      <c r="V37" s="538"/>
      <c r="W37" s="77" t="str">
        <f t="shared" si="8"/>
        <v>ילדים גדול</v>
      </c>
      <c r="X37" s="385">
        <f t="shared" si="3"/>
        <v>0.6</v>
      </c>
      <c r="Y37" s="378" t="str">
        <f t="shared" si="9"/>
        <v>OK</v>
      </c>
      <c r="Z37" s="231" t="str">
        <f t="shared" si="4"/>
        <v>ילדים גדול</v>
      </c>
      <c r="AA37" s="231" t="str">
        <f t="shared" si="5"/>
        <v>ילדים גדול</v>
      </c>
      <c r="AC37" s="263" t="b">
        <f t="shared" si="10"/>
        <v>0</v>
      </c>
      <c r="AD37" t="b">
        <f t="shared" si="11"/>
        <v>0</v>
      </c>
      <c r="AE37" t="b">
        <f t="shared" si="12"/>
        <v>0</v>
      </c>
      <c r="AF37" t="b">
        <f t="shared" si="13"/>
        <v>1</v>
      </c>
      <c r="AG37" t="b">
        <f t="shared" si="14"/>
        <v>1</v>
      </c>
      <c r="AH37" t="b">
        <f t="shared" si="15"/>
        <v>1</v>
      </c>
      <c r="AI37" t="b">
        <f t="shared" si="16"/>
        <v>1</v>
      </c>
      <c r="AJ37" s="363" t="str">
        <f t="shared" si="17"/>
        <v>ללא סיווג</v>
      </c>
      <c r="AK37" t="str">
        <f t="shared" si="18"/>
        <v>ילדים גדול</v>
      </c>
      <c r="AL37" t="str">
        <f t="shared" si="19"/>
        <v>גדול</v>
      </c>
      <c r="AM37" t="str">
        <f t="shared" si="19"/>
        <v>בינוני</v>
      </c>
      <c r="AN37" t="str">
        <f t="shared" si="19"/>
        <v>קטן</v>
      </c>
      <c r="AO37" t="str">
        <f t="shared" si="19"/>
        <v>ילדים גדול</v>
      </c>
      <c r="AP37" t="str">
        <f t="shared" si="19"/>
        <v>ילדים בינוני</v>
      </c>
      <c r="AQ37" t="str">
        <f t="shared" si="19"/>
        <v>ילדים קטן</v>
      </c>
      <c r="AR37" t="str">
        <f t="shared" si="19"/>
        <v>ללא סיווג</v>
      </c>
    </row>
    <row r="38" spans="1:44">
      <c r="A38" s="421">
        <f t="shared" si="20"/>
        <v>25</v>
      </c>
      <c r="B38" s="424" t="s">
        <v>224</v>
      </c>
      <c r="C38" s="530"/>
      <c r="D38" s="73">
        <v>1</v>
      </c>
      <c r="E38" s="73"/>
      <c r="F38" s="73"/>
      <c r="G38" s="73"/>
      <c r="H38" s="147">
        <v>23</v>
      </c>
      <c r="I38" s="147"/>
      <c r="J38" s="147">
        <v>19</v>
      </c>
      <c r="K38" s="397">
        <v>2.6</v>
      </c>
      <c r="L38" s="147"/>
      <c r="M38" s="397">
        <v>2.2000000000000002</v>
      </c>
      <c r="N38" s="397">
        <v>417</v>
      </c>
      <c r="O38" s="397"/>
      <c r="P38" s="397">
        <v>362</v>
      </c>
      <c r="Q38" s="297">
        <v>2002</v>
      </c>
      <c r="R38" s="77">
        <f t="shared" si="2"/>
        <v>15</v>
      </c>
      <c r="S38" s="286">
        <v>5282678</v>
      </c>
      <c r="T38" s="533" t="str">
        <f t="shared" si="7"/>
        <v>ילדים קטן</v>
      </c>
      <c r="U38" s="538"/>
      <c r="V38" s="538"/>
      <c r="W38" s="77" t="str">
        <f t="shared" si="8"/>
        <v>ילדים קטן</v>
      </c>
      <c r="X38" s="385">
        <f t="shared" si="3"/>
        <v>0.2</v>
      </c>
      <c r="Y38" s="378" t="str">
        <f t="shared" si="9"/>
        <v>OK</v>
      </c>
      <c r="Z38" s="231" t="str">
        <f t="shared" si="4"/>
        <v>ילדים קטן</v>
      </c>
      <c r="AA38" s="231" t="str">
        <f t="shared" si="5"/>
        <v>ילדים קטן</v>
      </c>
      <c r="AC38" s="263" t="b">
        <f t="shared" si="10"/>
        <v>0</v>
      </c>
      <c r="AD38" t="b">
        <f t="shared" si="11"/>
        <v>0</v>
      </c>
      <c r="AE38" t="b">
        <f t="shared" si="12"/>
        <v>0</v>
      </c>
      <c r="AF38" t="b">
        <f t="shared" si="13"/>
        <v>0</v>
      </c>
      <c r="AG38" t="b">
        <f t="shared" si="14"/>
        <v>0</v>
      </c>
      <c r="AH38" t="b">
        <f t="shared" si="15"/>
        <v>1</v>
      </c>
      <c r="AI38" t="b">
        <f t="shared" si="16"/>
        <v>1</v>
      </c>
      <c r="AJ38" s="363" t="str">
        <f t="shared" si="17"/>
        <v>ללא סיווג</v>
      </c>
      <c r="AK38" t="str">
        <f t="shared" si="18"/>
        <v>ילדים קטן</v>
      </c>
      <c r="AL38" t="str">
        <f t="shared" si="19"/>
        <v>גדול</v>
      </c>
      <c r="AM38" t="str">
        <f t="shared" si="19"/>
        <v>בינוני</v>
      </c>
      <c r="AN38" t="str">
        <f t="shared" si="19"/>
        <v>קטן</v>
      </c>
      <c r="AO38" t="str">
        <f t="shared" si="19"/>
        <v>ילדים גדול</v>
      </c>
      <c r="AP38" t="str">
        <f t="shared" si="19"/>
        <v>ילדים בינוני</v>
      </c>
      <c r="AQ38" t="str">
        <f t="shared" si="19"/>
        <v>ילדים קטן</v>
      </c>
      <c r="AR38" t="str">
        <f t="shared" si="19"/>
        <v>ללא סיווג</v>
      </c>
    </row>
    <row r="39" spans="1:44">
      <c r="A39" s="421">
        <f t="shared" si="20"/>
        <v>26</v>
      </c>
      <c r="B39" s="424" t="s">
        <v>225</v>
      </c>
      <c r="C39" s="530"/>
      <c r="D39" s="73">
        <v>1</v>
      </c>
      <c r="E39" s="73"/>
      <c r="F39" s="73"/>
      <c r="G39" s="73"/>
      <c r="H39" s="147">
        <v>33</v>
      </c>
      <c r="I39" s="147"/>
      <c r="J39" s="147">
        <v>27</v>
      </c>
      <c r="K39" s="397">
        <v>4.5</v>
      </c>
      <c r="L39" s="147"/>
      <c r="M39" s="397">
        <v>3.2</v>
      </c>
      <c r="N39" s="397">
        <v>850</v>
      </c>
      <c r="O39" s="397"/>
      <c r="P39" s="397">
        <v>715</v>
      </c>
      <c r="Q39" s="297">
        <v>2004</v>
      </c>
      <c r="R39" s="77">
        <f t="shared" si="2"/>
        <v>13</v>
      </c>
      <c r="S39" s="286">
        <v>14117682</v>
      </c>
      <c r="T39" s="533" t="str">
        <f t="shared" si="7"/>
        <v>ילדים בינוני</v>
      </c>
      <c r="U39" s="538"/>
      <c r="V39" s="538"/>
      <c r="W39" s="77" t="str">
        <f t="shared" si="8"/>
        <v>ילדים בינוני</v>
      </c>
      <c r="X39" s="385">
        <f t="shared" si="3"/>
        <v>0.4</v>
      </c>
      <c r="Y39" s="378" t="str">
        <f t="shared" si="9"/>
        <v>OK</v>
      </c>
      <c r="Z39" s="231" t="str">
        <f t="shared" si="4"/>
        <v>ילדים בינוני</v>
      </c>
      <c r="AA39" s="231" t="str">
        <f t="shared" si="5"/>
        <v>ילדים בינוני</v>
      </c>
      <c r="AC39" s="263" t="b">
        <f t="shared" si="10"/>
        <v>0</v>
      </c>
      <c r="AD39" t="b">
        <f t="shared" si="11"/>
        <v>0</v>
      </c>
      <c r="AE39" t="b">
        <f t="shared" si="12"/>
        <v>0</v>
      </c>
      <c r="AF39" t="b">
        <f t="shared" si="13"/>
        <v>0</v>
      </c>
      <c r="AG39" t="b">
        <f t="shared" si="14"/>
        <v>1</v>
      </c>
      <c r="AH39" t="b">
        <f t="shared" si="15"/>
        <v>1</v>
      </c>
      <c r="AI39" t="b">
        <f t="shared" si="16"/>
        <v>1</v>
      </c>
      <c r="AJ39" s="363" t="str">
        <f t="shared" si="17"/>
        <v>ללא סיווג</v>
      </c>
      <c r="AK39" t="str">
        <f t="shared" si="18"/>
        <v>ילדים בינוני</v>
      </c>
      <c r="AL39" t="str">
        <f t="shared" si="19"/>
        <v>גדול</v>
      </c>
      <c r="AM39" t="str">
        <f t="shared" si="19"/>
        <v>בינוני</v>
      </c>
      <c r="AN39" t="str">
        <f t="shared" si="19"/>
        <v>קטן</v>
      </c>
      <c r="AO39" t="str">
        <f t="shared" si="19"/>
        <v>ילדים גדול</v>
      </c>
      <c r="AP39" t="str">
        <f t="shared" si="19"/>
        <v>ילדים בינוני</v>
      </c>
      <c r="AQ39" t="str">
        <f t="shared" si="19"/>
        <v>ילדים קטן</v>
      </c>
      <c r="AR39" t="str">
        <f t="shared" si="19"/>
        <v>ללא סיווג</v>
      </c>
    </row>
    <row r="40" spans="1:44">
      <c r="A40" s="421">
        <f t="shared" si="20"/>
        <v>27</v>
      </c>
      <c r="B40" s="425" t="s">
        <v>226</v>
      </c>
      <c r="C40" s="530"/>
      <c r="D40" s="73">
        <v>1</v>
      </c>
      <c r="E40" s="73"/>
      <c r="F40" s="73"/>
      <c r="G40" s="73"/>
      <c r="H40" s="147">
        <v>22</v>
      </c>
      <c r="I40" s="147"/>
      <c r="J40" s="147">
        <v>21</v>
      </c>
      <c r="K40" s="397">
        <v>2</v>
      </c>
      <c r="L40" s="147"/>
      <c r="M40" s="397">
        <v>2.4</v>
      </c>
      <c r="N40" s="397">
        <v>246</v>
      </c>
      <c r="O40" s="397"/>
      <c r="P40" s="397">
        <v>202</v>
      </c>
      <c r="Q40" s="297">
        <v>2002</v>
      </c>
      <c r="R40" s="77">
        <f t="shared" si="2"/>
        <v>15</v>
      </c>
      <c r="S40" s="286">
        <v>2412885</v>
      </c>
      <c r="T40" s="533" t="str">
        <f t="shared" si="7"/>
        <v>ילדים קטן</v>
      </c>
      <c r="U40" s="538"/>
      <c r="V40" s="538"/>
      <c r="W40" s="77" t="str">
        <f t="shared" si="8"/>
        <v>ילדים קטן</v>
      </c>
      <c r="X40" s="385">
        <f t="shared" si="3"/>
        <v>0.2</v>
      </c>
      <c r="Y40" s="378" t="str">
        <f t="shared" si="9"/>
        <v>OK</v>
      </c>
      <c r="Z40" s="231" t="str">
        <f t="shared" si="4"/>
        <v>ילדים קטן</v>
      </c>
      <c r="AA40" s="231" t="str">
        <f t="shared" si="5"/>
        <v>ילדים קטן</v>
      </c>
      <c r="AC40" s="263" t="b">
        <f t="shared" si="10"/>
        <v>0</v>
      </c>
      <c r="AD40" t="b">
        <f t="shared" si="11"/>
        <v>0</v>
      </c>
      <c r="AE40" t="b">
        <f t="shared" si="12"/>
        <v>0</v>
      </c>
      <c r="AF40" t="b">
        <f t="shared" si="13"/>
        <v>0</v>
      </c>
      <c r="AG40" t="b">
        <f t="shared" si="14"/>
        <v>0</v>
      </c>
      <c r="AH40" t="b">
        <f t="shared" si="15"/>
        <v>1</v>
      </c>
      <c r="AI40" t="b">
        <f t="shared" si="16"/>
        <v>1</v>
      </c>
      <c r="AJ40" s="363" t="str">
        <f t="shared" si="17"/>
        <v>ללא סיווג</v>
      </c>
      <c r="AK40" t="str">
        <f t="shared" si="18"/>
        <v>ילדים קטן</v>
      </c>
      <c r="AL40" t="str">
        <f t="shared" si="19"/>
        <v>גדול</v>
      </c>
      <c r="AM40" t="str">
        <f t="shared" si="19"/>
        <v>בינוני</v>
      </c>
      <c r="AN40" t="str">
        <f t="shared" si="19"/>
        <v>קטן</v>
      </c>
      <c r="AO40" t="str">
        <f t="shared" si="19"/>
        <v>ילדים גדול</v>
      </c>
      <c r="AP40" t="str">
        <f t="shared" si="19"/>
        <v>ילדים בינוני</v>
      </c>
      <c r="AQ40" t="str">
        <f t="shared" si="19"/>
        <v>ילדים קטן</v>
      </c>
      <c r="AR40" t="str">
        <f t="shared" si="19"/>
        <v>ללא סיווג</v>
      </c>
    </row>
    <row r="41" spans="1:44">
      <c r="A41" s="421">
        <f t="shared" si="20"/>
        <v>28</v>
      </c>
      <c r="B41" s="424" t="s">
        <v>231</v>
      </c>
      <c r="C41" s="530"/>
      <c r="D41" s="73">
        <v>1</v>
      </c>
      <c r="E41" s="73"/>
      <c r="F41" s="73"/>
      <c r="G41" s="73"/>
      <c r="H41" s="147">
        <v>21</v>
      </c>
      <c r="I41" s="147"/>
      <c r="J41" s="147">
        <v>23</v>
      </c>
      <c r="K41" s="397">
        <v>2.7</v>
      </c>
      <c r="L41" s="147"/>
      <c r="M41" s="397">
        <v>3.2</v>
      </c>
      <c r="N41" s="397">
        <v>587</v>
      </c>
      <c r="O41" s="397"/>
      <c r="P41" s="397">
        <v>634</v>
      </c>
      <c r="Q41" s="297">
        <v>2007</v>
      </c>
      <c r="R41" s="77">
        <f t="shared" si="2"/>
        <v>10</v>
      </c>
      <c r="S41" s="286">
        <v>4124561</v>
      </c>
      <c r="T41" s="533" t="str">
        <f t="shared" si="7"/>
        <v>ילדים קטן</v>
      </c>
      <c r="U41" s="538"/>
      <c r="V41" s="538"/>
      <c r="W41" s="77" t="str">
        <f t="shared" si="8"/>
        <v>ילדים קטן</v>
      </c>
      <c r="X41" s="385">
        <f t="shared" si="3"/>
        <v>0.2</v>
      </c>
      <c r="Y41" s="378" t="str">
        <f t="shared" si="9"/>
        <v>OK</v>
      </c>
      <c r="Z41" s="231" t="str">
        <f t="shared" si="4"/>
        <v>ילדים קטן</v>
      </c>
      <c r="AA41" s="231" t="str">
        <f t="shared" si="5"/>
        <v>ילדים קטן</v>
      </c>
      <c r="AC41" s="263" t="b">
        <f t="shared" si="10"/>
        <v>0</v>
      </c>
      <c r="AD41" t="b">
        <f t="shared" si="11"/>
        <v>0</v>
      </c>
      <c r="AE41" t="b">
        <f t="shared" si="12"/>
        <v>0</v>
      </c>
      <c r="AF41" t="b">
        <f t="shared" si="13"/>
        <v>0</v>
      </c>
      <c r="AG41" t="b">
        <f t="shared" si="14"/>
        <v>0</v>
      </c>
      <c r="AH41" t="b">
        <f t="shared" si="15"/>
        <v>1</v>
      </c>
      <c r="AI41" t="b">
        <f t="shared" si="16"/>
        <v>1</v>
      </c>
      <c r="AJ41" s="363" t="str">
        <f t="shared" si="17"/>
        <v>ללא סיווג</v>
      </c>
      <c r="AK41" t="str">
        <f t="shared" si="18"/>
        <v>ילדים קטן</v>
      </c>
      <c r="AL41" t="str">
        <f t="shared" si="19"/>
        <v>גדול</v>
      </c>
      <c r="AM41" t="str">
        <f t="shared" si="19"/>
        <v>בינוני</v>
      </c>
      <c r="AN41" t="str">
        <f t="shared" si="19"/>
        <v>קטן</v>
      </c>
      <c r="AO41" t="str">
        <f t="shared" si="19"/>
        <v>ילדים גדול</v>
      </c>
      <c r="AP41" t="str">
        <f t="shared" si="19"/>
        <v>ילדים בינוני</v>
      </c>
      <c r="AQ41" t="str">
        <f t="shared" si="19"/>
        <v>ילדים קטן</v>
      </c>
      <c r="AR41" t="str">
        <f t="shared" si="19"/>
        <v>ללא סיווג</v>
      </c>
    </row>
    <row r="42" spans="1:44">
      <c r="A42" s="421">
        <f t="shared" si="20"/>
        <v>29</v>
      </c>
      <c r="B42" s="463" t="s">
        <v>303</v>
      </c>
      <c r="C42" s="530"/>
      <c r="D42" s="73">
        <v>0</v>
      </c>
      <c r="E42" s="73"/>
      <c r="F42" s="73"/>
      <c r="G42" s="73"/>
      <c r="H42" s="147">
        <v>8</v>
      </c>
      <c r="I42" s="147"/>
      <c r="J42" s="147">
        <v>8</v>
      </c>
      <c r="K42" s="147">
        <v>3</v>
      </c>
      <c r="L42" s="147"/>
      <c r="M42" s="147">
        <v>2</v>
      </c>
      <c r="N42" s="147">
        <v>102</v>
      </c>
      <c r="O42" s="147"/>
      <c r="P42" s="147">
        <v>228</v>
      </c>
      <c r="Q42" s="232">
        <v>2010</v>
      </c>
      <c r="R42" s="77">
        <f t="shared" si="2"/>
        <v>7</v>
      </c>
      <c r="S42" s="286">
        <v>1954696</v>
      </c>
      <c r="T42" s="533" t="str">
        <f t="shared" si="7"/>
        <v>קטן</v>
      </c>
      <c r="U42" s="538"/>
      <c r="V42" s="538"/>
      <c r="W42" s="77" t="str">
        <f t="shared" si="8"/>
        <v>קטן</v>
      </c>
      <c r="X42" s="385">
        <f t="shared" si="3"/>
        <v>0.25</v>
      </c>
      <c r="Y42" s="378" t="str">
        <f t="shared" si="9"/>
        <v>OK</v>
      </c>
      <c r="Z42" s="231" t="str">
        <f t="shared" si="4"/>
        <v>קטן</v>
      </c>
      <c r="AA42" s="231" t="str">
        <f t="shared" si="5"/>
        <v>קטן</v>
      </c>
      <c r="AC42" s="263" t="b">
        <f t="shared" si="10"/>
        <v>0</v>
      </c>
      <c r="AD42" t="b">
        <f t="shared" si="11"/>
        <v>0</v>
      </c>
      <c r="AE42" t="b">
        <f t="shared" si="12"/>
        <v>1</v>
      </c>
      <c r="AF42" t="b">
        <f t="shared" si="13"/>
        <v>0</v>
      </c>
      <c r="AG42" t="b">
        <f t="shared" si="14"/>
        <v>0</v>
      </c>
      <c r="AH42" t="b">
        <f t="shared" si="15"/>
        <v>0</v>
      </c>
      <c r="AI42" t="b">
        <f t="shared" si="16"/>
        <v>1</v>
      </c>
      <c r="AJ42" s="363" t="str">
        <f t="shared" si="17"/>
        <v>קטן</v>
      </c>
      <c r="AK42" t="str">
        <f t="shared" si="18"/>
        <v>ללא סיווג</v>
      </c>
      <c r="AL42" t="str">
        <f t="shared" si="19"/>
        <v>גדול</v>
      </c>
      <c r="AM42" t="str">
        <f t="shared" si="19"/>
        <v>בינוני</v>
      </c>
      <c r="AN42" t="str">
        <f t="shared" si="19"/>
        <v>קטן</v>
      </c>
      <c r="AO42" t="str">
        <f t="shared" si="19"/>
        <v>ילדים גדול</v>
      </c>
      <c r="AP42" t="str">
        <f t="shared" si="19"/>
        <v>ילדים בינוני</v>
      </c>
      <c r="AQ42" t="str">
        <f t="shared" si="19"/>
        <v>ילדים קטן</v>
      </c>
      <c r="AR42" t="str">
        <f t="shared" si="19"/>
        <v>ללא סיווג</v>
      </c>
    </row>
    <row r="43" spans="1:44">
      <c r="A43" s="421">
        <f t="shared" si="20"/>
        <v>30</v>
      </c>
      <c r="B43" s="425" t="s">
        <v>232</v>
      </c>
      <c r="C43" s="530"/>
      <c r="D43" s="73"/>
      <c r="E43" s="73"/>
      <c r="F43" s="73"/>
      <c r="G43" s="73"/>
      <c r="H43" s="147"/>
      <c r="I43" s="147"/>
      <c r="J43" s="147"/>
      <c r="K43" s="147"/>
      <c r="L43" s="147"/>
      <c r="M43" s="147"/>
      <c r="N43" s="147"/>
      <c r="O43" s="147"/>
      <c r="P43" s="147"/>
      <c r="Q43" s="232"/>
      <c r="R43" s="77" t="str">
        <f t="shared" si="2"/>
        <v/>
      </c>
      <c r="S43" s="74"/>
      <c r="T43" s="535" t="str">
        <f t="shared" si="7"/>
        <v>ללא סיווג</v>
      </c>
      <c r="U43" s="297"/>
      <c r="V43" s="297"/>
      <c r="W43" s="77" t="str">
        <f t="shared" si="8"/>
        <v>ללא סיווג</v>
      </c>
      <c r="X43" s="385">
        <f t="shared" si="3"/>
        <v>0</v>
      </c>
      <c r="Y43" s="378" t="str">
        <f t="shared" si="9"/>
        <v>OK</v>
      </c>
      <c r="Z43" s="231" t="str">
        <f t="shared" si="4"/>
        <v>BAD</v>
      </c>
      <c r="AA43" s="231" t="str">
        <f t="shared" si="5"/>
        <v>B</v>
      </c>
      <c r="AC43" s="263" t="b">
        <f t="shared" si="10"/>
        <v>0</v>
      </c>
      <c r="AD43" t="b">
        <f t="shared" si="11"/>
        <v>0</v>
      </c>
      <c r="AE43" t="b">
        <f t="shared" si="12"/>
        <v>0</v>
      </c>
      <c r="AF43" t="b">
        <f t="shared" si="13"/>
        <v>0</v>
      </c>
      <c r="AG43" t="b">
        <f t="shared" si="14"/>
        <v>0</v>
      </c>
      <c r="AH43" t="b">
        <f t="shared" si="15"/>
        <v>0</v>
      </c>
      <c r="AI43" t="b">
        <f t="shared" si="16"/>
        <v>1</v>
      </c>
      <c r="AJ43" s="363" t="str">
        <f t="shared" si="17"/>
        <v>ללא סיווג</v>
      </c>
      <c r="AK43" t="str">
        <f t="shared" si="18"/>
        <v>ללא סיווג</v>
      </c>
      <c r="AL43" t="str">
        <f t="shared" si="19"/>
        <v>גדול</v>
      </c>
      <c r="AM43" t="str">
        <f t="shared" si="19"/>
        <v>בינוני</v>
      </c>
      <c r="AN43" t="str">
        <f t="shared" si="19"/>
        <v>קטן</v>
      </c>
      <c r="AO43" t="str">
        <f t="shared" si="19"/>
        <v>ילדים גדול</v>
      </c>
      <c r="AP43" t="str">
        <f t="shared" si="19"/>
        <v>ילדים בינוני</v>
      </c>
      <c r="AQ43" t="str">
        <f t="shared" si="19"/>
        <v>ילדים קטן</v>
      </c>
      <c r="AR43" t="str">
        <f t="shared" si="19"/>
        <v>ללא סיווג</v>
      </c>
    </row>
    <row r="44" spans="1:44">
      <c r="A44" s="421">
        <f t="shared" si="20"/>
        <v>31</v>
      </c>
      <c r="B44" s="424" t="s">
        <v>233</v>
      </c>
      <c r="C44" s="530"/>
      <c r="D44" s="73"/>
      <c r="E44" s="73"/>
      <c r="F44" s="73"/>
      <c r="G44" s="73"/>
      <c r="H44" s="147"/>
      <c r="I44" s="147"/>
      <c r="J44" s="147"/>
      <c r="K44" s="147"/>
      <c r="L44" s="147"/>
      <c r="M44" s="147"/>
      <c r="N44" s="147"/>
      <c r="O44" s="147"/>
      <c r="P44" s="147"/>
      <c r="Q44" s="232"/>
      <c r="R44" s="77" t="str">
        <f t="shared" si="2"/>
        <v/>
      </c>
      <c r="S44" s="74"/>
      <c r="T44" s="535" t="str">
        <f t="shared" si="7"/>
        <v>ללא סיווג</v>
      </c>
      <c r="U44" s="297"/>
      <c r="V44" s="297"/>
      <c r="W44" s="77" t="str">
        <f t="shared" si="8"/>
        <v>ללא סיווג</v>
      </c>
      <c r="X44" s="385">
        <f t="shared" si="3"/>
        <v>0</v>
      </c>
      <c r="Y44" s="378" t="str">
        <f t="shared" si="9"/>
        <v>OK</v>
      </c>
      <c r="Z44" s="231" t="str">
        <f t="shared" si="4"/>
        <v>BAD</v>
      </c>
      <c r="AA44" s="231" t="str">
        <f t="shared" si="5"/>
        <v>B</v>
      </c>
      <c r="AC44" s="263" t="b">
        <f t="shared" si="10"/>
        <v>0</v>
      </c>
      <c r="AD44" t="b">
        <f t="shared" si="11"/>
        <v>0</v>
      </c>
      <c r="AE44" t="b">
        <f t="shared" si="12"/>
        <v>0</v>
      </c>
      <c r="AF44" t="b">
        <f t="shared" si="13"/>
        <v>0</v>
      </c>
      <c r="AG44" t="b">
        <f t="shared" si="14"/>
        <v>0</v>
      </c>
      <c r="AH44" t="b">
        <f t="shared" si="15"/>
        <v>0</v>
      </c>
      <c r="AI44" t="b">
        <f t="shared" si="16"/>
        <v>1</v>
      </c>
      <c r="AJ44" s="363" t="str">
        <f t="shared" si="17"/>
        <v>ללא סיווג</v>
      </c>
      <c r="AK44" t="str">
        <f t="shared" si="18"/>
        <v>ללא סיווג</v>
      </c>
      <c r="AL44" t="str">
        <f t="shared" si="19"/>
        <v>גדול</v>
      </c>
      <c r="AM44" t="str">
        <f t="shared" si="19"/>
        <v>בינוני</v>
      </c>
      <c r="AN44" t="str">
        <f t="shared" si="19"/>
        <v>קטן</v>
      </c>
      <c r="AO44" t="str">
        <f t="shared" si="19"/>
        <v>ילדים גדול</v>
      </c>
      <c r="AP44" t="str">
        <f t="shared" si="19"/>
        <v>ילדים בינוני</v>
      </c>
      <c r="AQ44" t="str">
        <f t="shared" si="19"/>
        <v>ילדים קטן</v>
      </c>
      <c r="AR44" t="str">
        <f t="shared" si="19"/>
        <v>ללא סיווג</v>
      </c>
    </row>
    <row r="45" spans="1:44">
      <c r="A45" s="421">
        <f t="shared" si="20"/>
        <v>32</v>
      </c>
      <c r="B45" s="424"/>
      <c r="C45" s="530"/>
      <c r="D45" s="73"/>
      <c r="E45" s="73"/>
      <c r="F45" s="73"/>
      <c r="G45" s="73"/>
      <c r="H45" s="147"/>
      <c r="I45" s="147"/>
      <c r="J45" s="147"/>
      <c r="K45" s="147"/>
      <c r="L45" s="147"/>
      <c r="M45" s="147"/>
      <c r="N45" s="147"/>
      <c r="O45" s="147"/>
      <c r="P45" s="147"/>
      <c r="Q45" s="232"/>
      <c r="R45" s="77" t="str">
        <f t="shared" si="2"/>
        <v/>
      </c>
      <c r="S45" s="74"/>
      <c r="T45" s="535" t="str">
        <f t="shared" si="7"/>
        <v/>
      </c>
      <c r="U45" s="297"/>
      <c r="V45" s="297"/>
      <c r="W45" s="77" t="str">
        <f t="shared" si="8"/>
        <v/>
      </c>
      <c r="X45" s="385" t="str">
        <f t="shared" si="3"/>
        <v/>
      </c>
      <c r="Y45" s="378" t="str">
        <f t="shared" si="9"/>
        <v/>
      </c>
      <c r="Z45" s="231" t="str">
        <f t="shared" si="4"/>
        <v>BAD</v>
      </c>
      <c r="AA45" s="231" t="str">
        <f t="shared" si="5"/>
        <v>B</v>
      </c>
      <c r="AC45" s="263" t="b">
        <f t="shared" si="10"/>
        <v>0</v>
      </c>
      <c r="AD45" t="b">
        <f t="shared" si="11"/>
        <v>0</v>
      </c>
      <c r="AE45" t="b">
        <f t="shared" si="12"/>
        <v>0</v>
      </c>
      <c r="AF45" t="b">
        <f t="shared" si="13"/>
        <v>0</v>
      </c>
      <c r="AG45" t="b">
        <f t="shared" si="14"/>
        <v>0</v>
      </c>
      <c r="AH45" t="b">
        <f t="shared" si="15"/>
        <v>0</v>
      </c>
      <c r="AI45" t="b">
        <f t="shared" si="16"/>
        <v>1</v>
      </c>
      <c r="AJ45" s="363" t="str">
        <f t="shared" si="17"/>
        <v>ללא סיווג</v>
      </c>
      <c r="AK45" t="str">
        <f t="shared" si="18"/>
        <v>ללא סיווג</v>
      </c>
      <c r="AL45" t="str">
        <f t="shared" si="19"/>
        <v/>
      </c>
      <c r="AM45" t="str">
        <f t="shared" si="19"/>
        <v/>
      </c>
      <c r="AN45" t="str">
        <f t="shared" si="19"/>
        <v/>
      </c>
      <c r="AO45" t="str">
        <f t="shared" si="19"/>
        <v/>
      </c>
      <c r="AP45" t="str">
        <f t="shared" si="19"/>
        <v/>
      </c>
      <c r="AQ45" t="str">
        <f t="shared" si="19"/>
        <v/>
      </c>
      <c r="AR45" t="str">
        <f t="shared" si="19"/>
        <v/>
      </c>
    </row>
    <row r="46" spans="1:44" ht="13.5" thickBot="1">
      <c r="A46" s="422">
        <f>A45+1</f>
        <v>33</v>
      </c>
      <c r="B46" s="427"/>
      <c r="C46" s="531"/>
      <c r="D46" s="387"/>
      <c r="E46" s="387"/>
      <c r="F46" s="387"/>
      <c r="G46" s="387"/>
      <c r="H46" s="388"/>
      <c r="I46" s="388"/>
      <c r="J46" s="388"/>
      <c r="K46" s="388"/>
      <c r="L46" s="388"/>
      <c r="M46" s="388"/>
      <c r="N46" s="388"/>
      <c r="O46" s="388"/>
      <c r="P46" s="388"/>
      <c r="Q46" s="389"/>
      <c r="R46" s="390" t="str">
        <f t="shared" si="2"/>
        <v/>
      </c>
      <c r="S46" s="391"/>
      <c r="T46" s="536" t="str">
        <f t="shared" si="7"/>
        <v/>
      </c>
      <c r="U46" s="540"/>
      <c r="V46" s="540"/>
      <c r="W46" s="390" t="str">
        <f t="shared" si="8"/>
        <v/>
      </c>
      <c r="X46" s="392" t="str">
        <f t="shared" si="3"/>
        <v/>
      </c>
      <c r="Y46" s="378" t="str">
        <f t="shared" si="9"/>
        <v/>
      </c>
      <c r="Z46" s="231" t="str">
        <f t="shared" si="4"/>
        <v>BAD</v>
      </c>
      <c r="AA46" s="231" t="str">
        <f t="shared" si="5"/>
        <v>B</v>
      </c>
      <c r="AC46" s="263" t="b">
        <f t="shared" si="10"/>
        <v>0</v>
      </c>
      <c r="AD46" t="b">
        <f t="shared" si="11"/>
        <v>0</v>
      </c>
      <c r="AE46" t="b">
        <f t="shared" si="12"/>
        <v>0</v>
      </c>
      <c r="AF46" t="b">
        <f t="shared" si="13"/>
        <v>0</v>
      </c>
      <c r="AG46" t="b">
        <f t="shared" si="14"/>
        <v>0</v>
      </c>
      <c r="AH46" t="b">
        <f t="shared" si="15"/>
        <v>0</v>
      </c>
      <c r="AI46" t="b">
        <f t="shared" si="16"/>
        <v>1</v>
      </c>
      <c r="AJ46" s="363" t="str">
        <f t="shared" si="17"/>
        <v>ללא סיווג</v>
      </c>
      <c r="AK46" t="str">
        <f t="shared" si="18"/>
        <v>ללא סיווג</v>
      </c>
      <c r="AL46" t="str">
        <f t="shared" si="19"/>
        <v/>
      </c>
      <c r="AM46" t="str">
        <f t="shared" si="19"/>
        <v/>
      </c>
      <c r="AN46" t="str">
        <f t="shared" si="19"/>
        <v/>
      </c>
      <c r="AO46" t="str">
        <f t="shared" si="19"/>
        <v/>
      </c>
      <c r="AP46" t="str">
        <f t="shared" si="19"/>
        <v/>
      </c>
      <c r="AQ46" t="str">
        <f t="shared" si="19"/>
        <v/>
      </c>
      <c r="AR46" t="str">
        <f t="shared" si="19"/>
        <v/>
      </c>
    </row>
    <row r="47" spans="1:44">
      <c r="L47" s="75"/>
      <c r="M47" s="75"/>
    </row>
  </sheetData>
  <sheetProtection password="CC01" sheet="1" objects="1" scenarios="1" formatColumns="0" formatRows="0"/>
  <dataConsolidate/>
  <mergeCells count="19">
    <mergeCell ref="Y12:AA13"/>
    <mergeCell ref="A11:X11"/>
    <mergeCell ref="X12:X13"/>
    <mergeCell ref="A12:A13"/>
    <mergeCell ref="W12:W13"/>
    <mergeCell ref="B12:B13"/>
    <mergeCell ref="Q12:R12"/>
    <mergeCell ref="H12:J12"/>
    <mergeCell ref="K12:M12"/>
    <mergeCell ref="N12:P12"/>
    <mergeCell ref="T12:T13"/>
    <mergeCell ref="U12:U13"/>
    <mergeCell ref="V12:V13"/>
    <mergeCell ref="N2:P2"/>
    <mergeCell ref="C12:C13"/>
    <mergeCell ref="R1:S1"/>
    <mergeCell ref="R2:S2"/>
    <mergeCell ref="H2:J2"/>
    <mergeCell ref="K2:M2"/>
  </mergeCells>
  <phoneticPr fontId="5" type="noConversion"/>
  <conditionalFormatting sqref="Q14:Q46">
    <cfRule type="expression" dxfId="116" priority="14" stopIfTrue="1">
      <formula>R14=""</formula>
    </cfRule>
  </conditionalFormatting>
  <conditionalFormatting sqref="Q18:Q21">
    <cfRule type="expression" dxfId="115" priority="7" stopIfTrue="1">
      <formula>R18=""</formula>
    </cfRule>
  </conditionalFormatting>
  <conditionalFormatting sqref="Q22:Q23">
    <cfRule type="expression" dxfId="114" priority="6" stopIfTrue="1">
      <formula>R22=""</formula>
    </cfRule>
  </conditionalFormatting>
  <conditionalFormatting sqref="Q25:Q28">
    <cfRule type="expression" dxfId="113" priority="5" stopIfTrue="1">
      <formula>R25=""</formula>
    </cfRule>
  </conditionalFormatting>
  <conditionalFormatting sqref="Q31:Q34">
    <cfRule type="expression" dxfId="112" priority="4" stopIfTrue="1">
      <formula>R31=""</formula>
    </cfRule>
  </conditionalFormatting>
  <conditionalFormatting sqref="Q35:Q38">
    <cfRule type="expression" dxfId="111" priority="3" stopIfTrue="1">
      <formula>R35=""</formula>
    </cfRule>
  </conditionalFormatting>
  <conditionalFormatting sqref="Q39">
    <cfRule type="expression" dxfId="110" priority="2" stopIfTrue="1">
      <formula>R39=""</formula>
    </cfRule>
  </conditionalFormatting>
  <dataValidations count="6">
    <dataValidation type="whole" errorStyle="warning" allowBlank="1" showInputMessage="1" showErrorMessage="1" errorTitle="טעות בהזנה" error="יש להזין שנת הקמה בפורמט של 4 ספרות_x000a_(לדוגמא 1978)" sqref="Q14:Q46">
      <formula1>1000</formula1>
      <formula2>$R$1-1</formula2>
    </dataValidation>
    <dataValidation type="decimal" errorStyle="warning" operator="greaterThanOrEqual" allowBlank="1" showInputMessage="1" showErrorMessage="1" errorTitle="טעות בהזנה" error="יש להזין את סכום התקציב_x000a_(מספר הגדול או שווה לאפס)" sqref="S14:S46">
      <formula1>0</formula1>
    </dataValidation>
    <dataValidation type="list" allowBlank="1" showInputMessage="1" showErrorMessage="1" sqref="C14:C46">
      <formula1>AL14:AR14</formula1>
    </dataValidation>
    <dataValidation errorStyle="warning" allowBlank="1" showInputMessage="1" showErrorMessage="1" errorTitle="טעות בהזנה" error="ש להזין סוג תיאטרון בהתאם לרשימת הסוגים:_x000a_גדול_x000a_בינוני_x000a_קטן_x000a_ילדים גדול_x000a_ילדים בינוני_x000a_ילדים קטן_x000a_או תיאטרון ללא סיווג" sqref="W14:W46"/>
    <dataValidation errorStyle="warning" operator="greaterThanOrEqual" allowBlank="1" showInputMessage="1" showErrorMessage="1" errorTitle="טעות בהזנה" error="יש להזין את סכום התקציב_x000a_(מספר הגדול או שווה לאפס)" sqref="T14:T46"/>
    <dataValidation type="list" errorStyle="warning" operator="greaterThanOrEqual" allowBlank="1" showErrorMessage="1" errorTitle="טעות בהזנה" error="יש להזין 0 - לא או 1 - כן" sqref="U14:V46">
      <formula1>"0,1"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scale="63" orientation="landscape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  <cellWatches>
    <cellWatch r="C13"/>
  </cellWatch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46"/>
    <pageSetUpPr fitToPage="1"/>
  </sheetPr>
  <dimension ref="A1:L40"/>
  <sheetViews>
    <sheetView rightToLeft="1" view="pageBreakPreview" zoomScale="80" zoomScaleSheetLayoutView="80" workbookViewId="0">
      <selection activeCell="A14" sqref="A14:XFD14"/>
    </sheetView>
  </sheetViews>
  <sheetFormatPr defaultRowHeight="12.75"/>
  <cols>
    <col min="1" max="1" width="10" bestFit="1" customWidth="1"/>
    <col min="2" max="2" width="19.7109375" customWidth="1"/>
    <col min="3" max="3" width="7.85546875" customWidth="1"/>
    <col min="4" max="4" width="7.85546875" hidden="1" customWidth="1"/>
    <col min="5" max="5" width="16.28515625" bestFit="1" customWidth="1"/>
    <col min="6" max="6" width="9.5703125" customWidth="1"/>
    <col min="7" max="7" width="11.140625" customWidth="1"/>
    <col min="10" max="10" width="9.140625" hidden="1" customWidth="1"/>
  </cols>
  <sheetData>
    <row r="1" spans="1:12" ht="17.25" thickTop="1" thickBot="1">
      <c r="B1" s="620" t="str">
        <f>פרמטרים!B1</f>
        <v>שנת התקציב</v>
      </c>
      <c r="C1" s="621"/>
      <c r="E1" s="152">
        <f>פרמטרים!D1</f>
        <v>2018</v>
      </c>
    </row>
    <row r="2" spans="1:12" ht="16.5" thickBot="1">
      <c r="B2" s="622" t="str">
        <f>פרמטרים!B2</f>
        <v>תקציב</v>
      </c>
      <c r="C2" s="623"/>
      <c r="E2" s="140">
        <f>פרמטרים!D2</f>
        <v>98822015</v>
      </c>
    </row>
    <row r="3" spans="1:12" ht="17.25" thickTop="1" thickBot="1">
      <c r="A3" s="615" t="s">
        <v>152</v>
      </c>
      <c r="B3" s="616"/>
      <c r="C3" s="616"/>
      <c r="D3" s="616"/>
      <c r="E3" s="616"/>
      <c r="F3" s="616"/>
      <c r="G3" s="616"/>
      <c r="H3" s="617"/>
    </row>
    <row r="4" spans="1:12" ht="17.25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151</v>
      </c>
      <c r="D4" s="628"/>
      <c r="E4" s="629"/>
      <c r="F4" s="626" t="s">
        <v>150</v>
      </c>
      <c r="G4" s="626" t="s">
        <v>19</v>
      </c>
      <c r="H4" s="630" t="s">
        <v>154</v>
      </c>
    </row>
    <row r="5" spans="1:12" ht="26.25" thickBot="1">
      <c r="A5" s="625"/>
      <c r="B5" s="614"/>
      <c r="C5" s="269" t="str">
        <f>סיווג!H13</f>
        <v xml:space="preserve"> שנת 2016</v>
      </c>
      <c r="D5" s="269" t="e">
        <f>סיווג!I13</f>
        <v>#VALUE!</v>
      </c>
      <c r="E5" s="269" t="str">
        <f>סיווג!J13</f>
        <v xml:space="preserve"> שנת 2017</v>
      </c>
      <c r="F5" s="614"/>
      <c r="G5" s="614"/>
      <c r="H5" s="631"/>
    </row>
    <row r="6" spans="1:12">
      <c r="A6" s="78">
        <f>סיווג!A14</f>
        <v>1</v>
      </c>
      <c r="B6" s="79" t="str">
        <f>IF(סיווג!B14=0,"",סיווג!B14)</f>
        <v>הבימה</v>
      </c>
      <c r="C6" s="144">
        <v>122.8</v>
      </c>
      <c r="D6" s="270"/>
      <c r="E6" s="272">
        <f t="shared" ref="E6:E38" si="0">IF($B6="","",MAX(C6:D6))</f>
        <v>122.8</v>
      </c>
      <c r="F6" s="84">
        <f>סיווג!X14</f>
        <v>1</v>
      </c>
      <c r="G6" s="85">
        <f t="shared" ref="G6:G38" si="1">IF(ISERR(F6*C6),"",F6*E6)</f>
        <v>122.8</v>
      </c>
      <c r="H6" s="91">
        <f>IF(ISERR(G6/$G$39),"",G6/$G$39)</f>
        <v>0.1461635055436199</v>
      </c>
      <c r="J6">
        <f>IF(B6="",0,IF(OR(ISERR(C6/3),C6&lt;0),0,C6))</f>
        <v>122.8</v>
      </c>
      <c r="L6" s="3"/>
    </row>
    <row r="7" spans="1:12">
      <c r="A7" s="80">
        <f>סיווג!A15</f>
        <v>2</v>
      </c>
      <c r="B7" s="81" t="str">
        <f>IF(סיווג!B15=0,"",סיווג!B15)</f>
        <v>הקאמרי</v>
      </c>
      <c r="C7" s="145">
        <v>130.30000000000001</v>
      </c>
      <c r="D7" s="270"/>
      <c r="E7" s="272">
        <f t="shared" si="0"/>
        <v>130.30000000000001</v>
      </c>
      <c r="F7" s="84">
        <f>סיווג!X15</f>
        <v>1</v>
      </c>
      <c r="G7" s="85">
        <f t="shared" si="1"/>
        <v>130.30000000000001</v>
      </c>
      <c r="H7" s="86">
        <f t="shared" ref="H7:H38" si="2">IF(ISERR(G7/$G$39),"",G7/$G$39)</f>
        <v>0.15509042974213091</v>
      </c>
      <c r="J7">
        <f t="shared" ref="J7:J38" si="3">IF(B7="",0,IF(OR(ISERR(C7/3),C7&lt;0),0,C7))</f>
        <v>130.30000000000001</v>
      </c>
      <c r="L7" s="3"/>
    </row>
    <row r="8" spans="1:12">
      <c r="A8" s="80">
        <f>סיווג!A16</f>
        <v>3</v>
      </c>
      <c r="B8" s="81" t="str">
        <f>IF(סיווג!B16=0,"",סיווג!B16)</f>
        <v>בית לסין</v>
      </c>
      <c r="C8" s="145">
        <v>108.8</v>
      </c>
      <c r="D8" s="270"/>
      <c r="E8" s="272">
        <f t="shared" si="0"/>
        <v>108.8</v>
      </c>
      <c r="F8" s="84">
        <f>סיווג!X16</f>
        <v>1</v>
      </c>
      <c r="G8" s="85">
        <f t="shared" si="1"/>
        <v>108.8</v>
      </c>
      <c r="H8" s="86">
        <f t="shared" si="2"/>
        <v>0.12949991370639941</v>
      </c>
      <c r="J8">
        <f t="shared" si="3"/>
        <v>108.8</v>
      </c>
      <c r="L8" s="3"/>
    </row>
    <row r="9" spans="1:12">
      <c r="A9" s="80">
        <f>סיווג!A17</f>
        <v>4</v>
      </c>
      <c r="B9" s="81" t="str">
        <f>IF(סיווג!B17=0,"",סיווג!B17)</f>
        <v>חיפה</v>
      </c>
      <c r="C9" s="145">
        <v>63</v>
      </c>
      <c r="D9" s="270"/>
      <c r="E9" s="272">
        <f t="shared" si="0"/>
        <v>63</v>
      </c>
      <c r="F9" s="84">
        <f>סיווג!X17</f>
        <v>0.8</v>
      </c>
      <c r="G9" s="85">
        <f t="shared" si="1"/>
        <v>50.400000000000006</v>
      </c>
      <c r="H9" s="86">
        <f t="shared" si="2"/>
        <v>5.9988930613993845E-2</v>
      </c>
      <c r="J9">
        <f t="shared" si="3"/>
        <v>63</v>
      </c>
      <c r="L9" s="3"/>
    </row>
    <row r="10" spans="1:12">
      <c r="A10" s="80">
        <f>סיווג!A18</f>
        <v>5</v>
      </c>
      <c r="B10" s="81" t="str">
        <f>IF(סיווג!B18=0,"",סיווג!B18)</f>
        <v>באר שבע</v>
      </c>
      <c r="C10" s="145">
        <v>72.5</v>
      </c>
      <c r="D10" s="270"/>
      <c r="E10" s="272">
        <f t="shared" si="0"/>
        <v>72.5</v>
      </c>
      <c r="F10" s="84">
        <f>סיווג!X18</f>
        <v>0.8</v>
      </c>
      <c r="G10" s="85">
        <f t="shared" si="1"/>
        <v>58</v>
      </c>
      <c r="H10" s="86">
        <f t="shared" si="2"/>
        <v>6.903488046848498E-2</v>
      </c>
      <c r="J10">
        <f t="shared" si="3"/>
        <v>72.5</v>
      </c>
      <c r="L10" s="3"/>
    </row>
    <row r="11" spans="1:12">
      <c r="A11" s="80">
        <f>סיווג!A19</f>
        <v>6</v>
      </c>
      <c r="B11" s="81" t="str">
        <f>IF(סיווג!B19=0,"",סיווג!B19)</f>
        <v>גשר</v>
      </c>
      <c r="C11" s="145">
        <v>68.2</v>
      </c>
      <c r="D11" s="270"/>
      <c r="E11" s="272">
        <f t="shared" si="0"/>
        <v>68.2</v>
      </c>
      <c r="F11" s="84">
        <f>סיווג!X19</f>
        <v>0.8</v>
      </c>
      <c r="G11" s="85">
        <f t="shared" si="1"/>
        <v>54.56</v>
      </c>
      <c r="H11" s="86">
        <f t="shared" si="2"/>
        <v>6.4940397902767941E-2</v>
      </c>
      <c r="J11">
        <f t="shared" si="3"/>
        <v>68.2</v>
      </c>
      <c r="L11" s="3"/>
    </row>
    <row r="12" spans="1:12">
      <c r="A12" s="80">
        <f>סיווג!A20</f>
        <v>7</v>
      </c>
      <c r="B12" s="81" t="str">
        <f>IF(סיווג!B20=0,"",סיווג!B20)</f>
        <v>החאן</v>
      </c>
      <c r="C12" s="145">
        <v>63.3</v>
      </c>
      <c r="D12" s="270"/>
      <c r="E12" s="272">
        <f t="shared" si="0"/>
        <v>63.3</v>
      </c>
      <c r="F12" s="84">
        <f>סיווג!X20</f>
        <v>0.8</v>
      </c>
      <c r="G12" s="85">
        <f t="shared" si="1"/>
        <v>50.64</v>
      </c>
      <c r="H12" s="86">
        <f t="shared" si="2"/>
        <v>6.0274592188346195E-2</v>
      </c>
      <c r="J12">
        <f t="shared" si="3"/>
        <v>63.3</v>
      </c>
      <c r="L12" s="3"/>
    </row>
    <row r="13" spans="1:12">
      <c r="A13" s="80">
        <f>סיווג!A21</f>
        <v>8</v>
      </c>
      <c r="B13" s="81" t="str">
        <f>IF(סיווג!B21=0,"",סיווג!B21)</f>
        <v>היידישפיל</v>
      </c>
      <c r="C13" s="145">
        <v>66.8</v>
      </c>
      <c r="D13" s="270"/>
      <c r="E13" s="272">
        <f t="shared" si="0"/>
        <v>66.8</v>
      </c>
      <c r="F13" s="84">
        <f>סיווג!X21</f>
        <v>0.8</v>
      </c>
      <c r="G13" s="85">
        <f t="shared" si="1"/>
        <v>53.44</v>
      </c>
      <c r="H13" s="86">
        <f t="shared" si="2"/>
        <v>6.3607310555790289E-2</v>
      </c>
      <c r="J13">
        <f t="shared" si="3"/>
        <v>66.8</v>
      </c>
      <c r="L13" s="3"/>
    </row>
    <row r="14" spans="1:12">
      <c r="A14" s="80">
        <f>סיווג!A22</f>
        <v>9</v>
      </c>
      <c r="B14" s="81" t="str">
        <f>IF(סיווג!B22=0,"",סיווג!B22)</f>
        <v>תיאטרון אלמידאן</v>
      </c>
      <c r="C14" s="145">
        <v>0</v>
      </c>
      <c r="D14" s="270"/>
      <c r="E14" s="272">
        <f t="shared" si="0"/>
        <v>0</v>
      </c>
      <c r="F14" s="84">
        <f>סיווג!X22</f>
        <v>0</v>
      </c>
      <c r="G14" s="85">
        <f t="shared" si="1"/>
        <v>0</v>
      </c>
      <c r="H14" s="86">
        <f t="shared" si="2"/>
        <v>0</v>
      </c>
      <c r="J14">
        <f t="shared" si="3"/>
        <v>0</v>
      </c>
      <c r="L14" s="3"/>
    </row>
    <row r="15" spans="1:12">
      <c r="A15" s="80">
        <f>סיווג!A23</f>
        <v>10</v>
      </c>
      <c r="B15" s="81" t="str">
        <f>IF(סיווג!B23=0,"",סיווג!B23)</f>
        <v>הזירה הבין תחומית</v>
      </c>
      <c r="C15" s="145">
        <v>11.8</v>
      </c>
      <c r="D15" s="270"/>
      <c r="E15" s="272">
        <f t="shared" si="0"/>
        <v>11.8</v>
      </c>
      <c r="F15" s="84">
        <f>סיווג!X23</f>
        <v>0.25</v>
      </c>
      <c r="G15" s="85">
        <f t="shared" si="1"/>
        <v>2.95</v>
      </c>
      <c r="H15" s="86">
        <f t="shared" si="2"/>
        <v>3.5112568514143222E-3</v>
      </c>
      <c r="J15">
        <f t="shared" si="3"/>
        <v>11.8</v>
      </c>
      <c r="L15" s="3"/>
    </row>
    <row r="16" spans="1:12">
      <c r="A16" s="80">
        <f>סיווג!A24</f>
        <v>11</v>
      </c>
      <c r="B16" s="81" t="str">
        <f>IF(סיווג!B24=0,"",סיווג!B24)</f>
        <v>אספקלריא</v>
      </c>
      <c r="C16" s="145">
        <v>33.5</v>
      </c>
      <c r="D16" s="270"/>
      <c r="E16" s="272">
        <f t="shared" si="0"/>
        <v>33.5</v>
      </c>
      <c r="F16" s="84">
        <f>סיווג!X24</f>
        <v>0.25</v>
      </c>
      <c r="G16" s="85">
        <f t="shared" si="1"/>
        <v>8.375</v>
      </c>
      <c r="H16" s="86">
        <f t="shared" si="2"/>
        <v>9.9683986883372707E-3</v>
      </c>
      <c r="J16">
        <f t="shared" si="3"/>
        <v>33.5</v>
      </c>
      <c r="L16" s="3"/>
    </row>
    <row r="17" spans="1:12">
      <c r="A17" s="80">
        <f>סיווג!A25</f>
        <v>12</v>
      </c>
      <c r="B17" s="81" t="str">
        <f>IF(סיווג!B25=0,"",סיווג!B25)</f>
        <v/>
      </c>
      <c r="C17" s="145"/>
      <c r="D17" s="270"/>
      <c r="E17" s="272" t="str">
        <f t="shared" si="0"/>
        <v/>
      </c>
      <c r="F17" s="84" t="str">
        <f>סיווג!X25</f>
        <v/>
      </c>
      <c r="G17" s="85" t="str">
        <f t="shared" si="1"/>
        <v/>
      </c>
      <c r="H17" s="86" t="str">
        <f t="shared" si="2"/>
        <v/>
      </c>
      <c r="J17">
        <f t="shared" si="3"/>
        <v>0</v>
      </c>
      <c r="L17" s="3"/>
    </row>
    <row r="18" spans="1:12">
      <c r="A18" s="80">
        <f>סיווג!A26</f>
        <v>13</v>
      </c>
      <c r="B18" s="81" t="str">
        <f>IF(סיווג!B26=0,"",סיווג!B26)</f>
        <v>עכו</v>
      </c>
      <c r="C18" s="145">
        <v>36.5</v>
      </c>
      <c r="D18" s="270"/>
      <c r="E18" s="272">
        <f t="shared" si="0"/>
        <v>36.5</v>
      </c>
      <c r="F18" s="84">
        <f>סיווג!X26</f>
        <v>0.25</v>
      </c>
      <c r="G18" s="85">
        <f t="shared" si="1"/>
        <v>9.125</v>
      </c>
      <c r="H18" s="86">
        <f t="shared" si="2"/>
        <v>1.086109110818837E-2</v>
      </c>
      <c r="J18">
        <f t="shared" si="3"/>
        <v>36.5</v>
      </c>
      <c r="L18" s="3"/>
    </row>
    <row r="19" spans="1:12">
      <c r="A19" s="80">
        <f>סיווג!A27</f>
        <v>14</v>
      </c>
      <c r="B19" s="81" t="str">
        <f>IF(סיווג!B27=0,"",סיווג!B27)</f>
        <v>הספרייה</v>
      </c>
      <c r="C19" s="145">
        <v>36</v>
      </c>
      <c r="D19" s="270"/>
      <c r="E19" s="272">
        <f t="shared" si="0"/>
        <v>36</v>
      </c>
      <c r="F19" s="84">
        <f>סיווג!X27</f>
        <v>0.25</v>
      </c>
      <c r="G19" s="85">
        <f t="shared" si="1"/>
        <v>9</v>
      </c>
      <c r="H19" s="86">
        <f t="shared" si="2"/>
        <v>1.0712309038213186E-2</v>
      </c>
      <c r="J19">
        <f t="shared" si="3"/>
        <v>36</v>
      </c>
      <c r="L19" s="3"/>
    </row>
    <row r="20" spans="1:12">
      <c r="A20" s="80">
        <f>סיווג!A28</f>
        <v>15</v>
      </c>
      <c r="B20" s="81" t="str">
        <f>IF(סיווג!B28=0,"",סיווג!B28)</f>
        <v>יפו</v>
      </c>
      <c r="C20" s="145">
        <v>28.3</v>
      </c>
      <c r="D20" s="270"/>
      <c r="E20" s="272">
        <f t="shared" si="0"/>
        <v>28.3</v>
      </c>
      <c r="F20" s="84">
        <f>סיווג!X28</f>
        <v>0.25</v>
      </c>
      <c r="G20" s="85">
        <f t="shared" si="1"/>
        <v>7.0750000000000002</v>
      </c>
      <c r="H20" s="86">
        <f t="shared" si="2"/>
        <v>8.4210651605953653E-3</v>
      </c>
      <c r="J20">
        <f t="shared" si="3"/>
        <v>28.3</v>
      </c>
      <c r="L20" s="3"/>
    </row>
    <row r="21" spans="1:12">
      <c r="A21" s="80">
        <f>סיווג!A29</f>
        <v>16</v>
      </c>
      <c r="B21" s="81" t="str">
        <f>IF(סיווג!B29=0,"",סיווג!B29)</f>
        <v/>
      </c>
      <c r="C21" s="145"/>
      <c r="D21" s="270"/>
      <c r="E21" s="272" t="str">
        <f t="shared" si="0"/>
        <v/>
      </c>
      <c r="F21" s="84" t="str">
        <f>סיווג!X29</f>
        <v/>
      </c>
      <c r="G21" s="85" t="str">
        <f t="shared" si="1"/>
        <v/>
      </c>
      <c r="H21" s="86" t="str">
        <f t="shared" si="2"/>
        <v/>
      </c>
      <c r="J21">
        <f t="shared" si="3"/>
        <v>0</v>
      </c>
      <c r="L21" s="3"/>
    </row>
    <row r="22" spans="1:12">
      <c r="A22" s="80">
        <f>סיווג!A30</f>
        <v>17</v>
      </c>
      <c r="B22" s="81" t="str">
        <f>IF(סיווג!B30=0,"",סיווג!B30)</f>
        <v>אינקובטור</v>
      </c>
      <c r="C22" s="145">
        <v>41</v>
      </c>
      <c r="D22" s="270"/>
      <c r="E22" s="272">
        <f t="shared" si="0"/>
        <v>41</v>
      </c>
      <c r="F22" s="84">
        <f>סיווג!X30</f>
        <v>0.25</v>
      </c>
      <c r="G22" s="85">
        <f t="shared" si="1"/>
        <v>10.25</v>
      </c>
      <c r="H22" s="86">
        <f t="shared" si="2"/>
        <v>1.2200129737965018E-2</v>
      </c>
      <c r="J22">
        <f t="shared" si="3"/>
        <v>41</v>
      </c>
      <c r="L22" s="3"/>
    </row>
    <row r="23" spans="1:12">
      <c r="A23" s="80">
        <f>סיווג!A31</f>
        <v>18</v>
      </c>
      <c r="B23" s="81" t="str">
        <f>IF(סיווג!B31=0,"",סיווג!B31)</f>
        <v>אורנה פורת</v>
      </c>
      <c r="C23" s="145">
        <v>60</v>
      </c>
      <c r="D23" s="270"/>
      <c r="E23" s="272">
        <f t="shared" si="0"/>
        <v>60</v>
      </c>
      <c r="F23" s="84">
        <f>סיווג!X31</f>
        <v>0.6</v>
      </c>
      <c r="G23" s="85">
        <f t="shared" si="1"/>
        <v>36</v>
      </c>
      <c r="H23" s="86">
        <f t="shared" si="2"/>
        <v>4.2849236152852743E-2</v>
      </c>
      <c r="J23">
        <f t="shared" si="3"/>
        <v>60</v>
      </c>
      <c r="L23" s="3"/>
    </row>
    <row r="24" spans="1:12">
      <c r="A24" s="80">
        <f>סיווג!A32</f>
        <v>19</v>
      </c>
      <c r="B24" s="81" t="str">
        <f>IF(סיווג!B32=0,"",סיווג!B32)</f>
        <v>ארצי לנוער</v>
      </c>
      <c r="C24" s="145">
        <v>54.5</v>
      </c>
      <c r="D24" s="270"/>
      <c r="E24" s="272">
        <f t="shared" si="0"/>
        <v>54.5</v>
      </c>
      <c r="F24" s="84">
        <f>סיווג!X32</f>
        <v>0.6</v>
      </c>
      <c r="G24" s="85">
        <f t="shared" si="1"/>
        <v>32.699999999999996</v>
      </c>
      <c r="H24" s="86">
        <f t="shared" si="2"/>
        <v>3.89213895055079E-2</v>
      </c>
      <c r="J24">
        <f t="shared" si="3"/>
        <v>54.5</v>
      </c>
    </row>
    <row r="25" spans="1:12">
      <c r="A25" s="80">
        <f>סיווג!A33</f>
        <v>20</v>
      </c>
      <c r="B25" s="81" t="str">
        <f>IF(סיווג!B33=0,"",סיווג!B33)</f>
        <v>הקיבוץ</v>
      </c>
      <c r="C25" s="145">
        <v>34</v>
      </c>
      <c r="D25" s="270"/>
      <c r="E25" s="272">
        <f t="shared" si="0"/>
        <v>34</v>
      </c>
      <c r="F25" s="84">
        <f>סיווג!X33</f>
        <v>0.2</v>
      </c>
      <c r="G25" s="85">
        <f t="shared" si="1"/>
        <v>6.8000000000000007</v>
      </c>
      <c r="H25" s="86">
        <f t="shared" si="2"/>
        <v>8.0937446066499628E-3</v>
      </c>
      <c r="J25">
        <f t="shared" si="3"/>
        <v>34</v>
      </c>
    </row>
    <row r="26" spans="1:12">
      <c r="A26" s="80">
        <f>סיווג!A34</f>
        <v>21</v>
      </c>
      <c r="B26" s="81" t="str">
        <f>IF(סיווג!B34=0,"",סיווג!B34)</f>
        <v>הקרון</v>
      </c>
      <c r="C26" s="145">
        <v>30</v>
      </c>
      <c r="D26" s="270"/>
      <c r="E26" s="272">
        <f t="shared" si="0"/>
        <v>30</v>
      </c>
      <c r="F26" s="84">
        <f>סיווג!X34</f>
        <v>0.2</v>
      </c>
      <c r="G26" s="85">
        <f t="shared" si="1"/>
        <v>6</v>
      </c>
      <c r="H26" s="86">
        <f t="shared" si="2"/>
        <v>7.1415393588087905E-3</v>
      </c>
      <c r="J26">
        <f t="shared" si="3"/>
        <v>30</v>
      </c>
    </row>
    <row r="27" spans="1:12">
      <c r="A27" s="80">
        <f>סיווג!A35</f>
        <v>22</v>
      </c>
      <c r="B27" s="81" t="str">
        <f>IF(סיווג!B35=0,"",סיווג!B35)</f>
        <v>בית הגפן</v>
      </c>
      <c r="C27" s="145">
        <v>22.5</v>
      </c>
      <c r="D27" s="270"/>
      <c r="E27" s="272">
        <f t="shared" si="0"/>
        <v>22.5</v>
      </c>
      <c r="F27" s="84">
        <f>סיווג!X35</f>
        <v>0.2</v>
      </c>
      <c r="G27" s="85">
        <f t="shared" si="1"/>
        <v>4.5</v>
      </c>
      <c r="H27" s="86">
        <f t="shared" si="2"/>
        <v>5.3561545191065929E-3</v>
      </c>
      <c r="J27">
        <f t="shared" si="3"/>
        <v>22.5</v>
      </c>
    </row>
    <row r="28" spans="1:12">
      <c r="A28" s="80">
        <f>סיווג!A36</f>
        <v>23</v>
      </c>
      <c r="B28" s="81" t="str">
        <f>IF(סיווג!B36=0,"",סיווג!B36)</f>
        <v>הנפש</v>
      </c>
      <c r="C28" s="145">
        <v>33.200000000000003</v>
      </c>
      <c r="D28" s="270"/>
      <c r="E28" s="272">
        <f t="shared" si="0"/>
        <v>33.200000000000003</v>
      </c>
      <c r="F28" s="84">
        <f>סיווג!X36</f>
        <v>0.2</v>
      </c>
      <c r="G28" s="85">
        <f t="shared" si="1"/>
        <v>6.6400000000000006</v>
      </c>
      <c r="H28" s="86">
        <f t="shared" si="2"/>
        <v>7.9033035570817284E-3</v>
      </c>
      <c r="J28">
        <f t="shared" si="3"/>
        <v>33.200000000000003</v>
      </c>
    </row>
    <row r="29" spans="1:12">
      <c r="A29" s="80">
        <f>סיווג!A37</f>
        <v>24</v>
      </c>
      <c r="B29" s="81" t="str">
        <f>IF(סיווג!B37=0,"",סיווג!B37)</f>
        <v>השעה</v>
      </c>
      <c r="C29" s="145">
        <v>59</v>
      </c>
      <c r="D29" s="270"/>
      <c r="E29" s="272">
        <f t="shared" si="0"/>
        <v>59</v>
      </c>
      <c r="F29" s="84">
        <f>סיווג!X37</f>
        <v>0.6</v>
      </c>
      <c r="G29" s="85">
        <f t="shared" si="1"/>
        <v>35.4</v>
      </c>
      <c r="H29" s="86">
        <f t="shared" si="2"/>
        <v>4.2135082216971861E-2</v>
      </c>
      <c r="J29">
        <f t="shared" si="3"/>
        <v>59</v>
      </c>
    </row>
    <row r="30" spans="1:12">
      <c r="A30" s="80">
        <f>סיווג!A38</f>
        <v>25</v>
      </c>
      <c r="B30" s="81" t="str">
        <f>IF(סיווג!B38=0,"",סיווג!B38)</f>
        <v>עדי</v>
      </c>
      <c r="C30" s="145">
        <v>24.1</v>
      </c>
      <c r="D30" s="270"/>
      <c r="E30" s="272">
        <f t="shared" si="0"/>
        <v>24.1</v>
      </c>
      <c r="F30" s="84">
        <f>סיווג!X38</f>
        <v>0.2</v>
      </c>
      <c r="G30" s="85">
        <f t="shared" si="1"/>
        <v>4.82</v>
      </c>
      <c r="H30" s="86">
        <f t="shared" si="2"/>
        <v>5.7370366182430618E-3</v>
      </c>
      <c r="J30">
        <f t="shared" si="3"/>
        <v>24.1</v>
      </c>
    </row>
    <row r="31" spans="1:12">
      <c r="A31" s="80">
        <f>סיווג!A39</f>
        <v>26</v>
      </c>
      <c r="B31" s="81" t="str">
        <f>IF(סיווג!B39=0,"",סיווג!B39)</f>
        <v>מדייטק</v>
      </c>
      <c r="C31" s="145">
        <v>36</v>
      </c>
      <c r="D31" s="270"/>
      <c r="E31" s="272">
        <f t="shared" si="0"/>
        <v>36</v>
      </c>
      <c r="F31" s="84">
        <f>סיווג!X39</f>
        <v>0.4</v>
      </c>
      <c r="G31" s="85">
        <f t="shared" si="1"/>
        <v>14.4</v>
      </c>
      <c r="H31" s="86">
        <f t="shared" si="2"/>
        <v>1.7139694461141098E-2</v>
      </c>
      <c r="J31">
        <f t="shared" si="3"/>
        <v>36</v>
      </c>
    </row>
    <row r="32" spans="1:12">
      <c r="A32" s="80">
        <f>סיווג!A40</f>
        <v>27</v>
      </c>
      <c r="B32" s="81" t="str">
        <f>IF(סיווג!B40=0,"",סיווג!B40)</f>
        <v>חני</v>
      </c>
      <c r="C32" s="145">
        <v>24.9</v>
      </c>
      <c r="D32" s="270"/>
      <c r="E32" s="272">
        <f t="shared" si="0"/>
        <v>24.9</v>
      </c>
      <c r="F32" s="84">
        <f>סיווג!X40</f>
        <v>0.2</v>
      </c>
      <c r="G32" s="85">
        <f t="shared" si="1"/>
        <v>4.9800000000000004</v>
      </c>
      <c r="H32" s="86">
        <f t="shared" si="2"/>
        <v>5.9274776678112963E-3</v>
      </c>
      <c r="J32">
        <f t="shared" si="3"/>
        <v>24.9</v>
      </c>
    </row>
    <row r="33" spans="1:10">
      <c r="A33" s="80">
        <f>סיווג!A41</f>
        <v>28</v>
      </c>
      <c r="B33" s="81" t="str">
        <f>IF(סיווג!B41=0,"",סיווג!B41)</f>
        <v xml:space="preserve">גשן </v>
      </c>
      <c r="C33" s="145">
        <v>32</v>
      </c>
      <c r="D33" s="270"/>
      <c r="E33" s="272">
        <f t="shared" si="0"/>
        <v>32</v>
      </c>
      <c r="F33" s="84">
        <f>סיווג!X41</f>
        <v>0.2</v>
      </c>
      <c r="G33" s="85">
        <f t="shared" si="1"/>
        <v>6.4</v>
      </c>
      <c r="H33" s="86">
        <f t="shared" si="2"/>
        <v>7.6176419827293767E-3</v>
      </c>
      <c r="J33">
        <f t="shared" si="3"/>
        <v>32</v>
      </c>
    </row>
    <row r="34" spans="1:10">
      <c r="A34" s="80">
        <f>סיווג!A42</f>
        <v>29</v>
      </c>
      <c r="B34" s="81" t="str">
        <f>IF(סיווג!B42=0,"",סיווג!B42)</f>
        <v>תיאטרון העברי</v>
      </c>
      <c r="C34" s="145">
        <v>23.2</v>
      </c>
      <c r="D34" s="270"/>
      <c r="E34" s="272">
        <f t="shared" si="0"/>
        <v>23.2</v>
      </c>
      <c r="F34" s="84">
        <f>סיווג!X42</f>
        <v>0.25</v>
      </c>
      <c r="G34" s="85">
        <f t="shared" si="1"/>
        <v>5.8</v>
      </c>
      <c r="H34" s="86">
        <f t="shared" si="2"/>
        <v>6.9034880468484975E-3</v>
      </c>
      <c r="J34">
        <f t="shared" si="3"/>
        <v>23.2</v>
      </c>
    </row>
    <row r="35" spans="1:10">
      <c r="A35" s="80">
        <f>סיווג!A43</f>
        <v>30</v>
      </c>
      <c r="B35" s="81" t="str">
        <f>IF(סיווג!B43=0,"",סיווג!B43)</f>
        <v>גליון ריק 2</v>
      </c>
      <c r="C35" s="145"/>
      <c r="D35" s="270"/>
      <c r="E35" s="272">
        <f t="shared" si="0"/>
        <v>0</v>
      </c>
      <c r="F35" s="84">
        <f>סיווג!X43</f>
        <v>0</v>
      </c>
      <c r="G35" s="85">
        <f t="shared" si="1"/>
        <v>0</v>
      </c>
      <c r="H35" s="86">
        <f t="shared" si="2"/>
        <v>0</v>
      </c>
      <c r="J35">
        <f t="shared" si="3"/>
        <v>0</v>
      </c>
    </row>
    <row r="36" spans="1:10">
      <c r="A36" s="80">
        <f>סיווג!A44</f>
        <v>31</v>
      </c>
      <c r="B36" s="81" t="str">
        <f>IF(סיווג!B44=0,"",סיווג!B44)</f>
        <v>גליון ריק 3</v>
      </c>
      <c r="C36" s="145"/>
      <c r="D36" s="270"/>
      <c r="E36" s="272">
        <f t="shared" si="0"/>
        <v>0</v>
      </c>
      <c r="F36" s="84">
        <f>סיווג!X44</f>
        <v>0</v>
      </c>
      <c r="G36" s="85">
        <f t="shared" si="1"/>
        <v>0</v>
      </c>
      <c r="H36" s="86">
        <f t="shared" si="2"/>
        <v>0</v>
      </c>
      <c r="J36">
        <f t="shared" si="3"/>
        <v>0</v>
      </c>
    </row>
    <row r="37" spans="1:10">
      <c r="A37" s="80">
        <f>סיווג!A45</f>
        <v>32</v>
      </c>
      <c r="B37" s="81" t="str">
        <f>IF(סיווג!B45=0,"",סיווג!B45)</f>
        <v/>
      </c>
      <c r="C37" s="145"/>
      <c r="D37" s="270"/>
      <c r="E37" s="272" t="str">
        <f t="shared" si="0"/>
        <v/>
      </c>
      <c r="F37" s="84" t="str">
        <f>סיווג!X45</f>
        <v/>
      </c>
      <c r="G37" s="85" t="str">
        <f t="shared" si="1"/>
        <v/>
      </c>
      <c r="H37" s="86" t="str">
        <f t="shared" si="2"/>
        <v/>
      </c>
      <c r="J37">
        <f t="shared" si="3"/>
        <v>0</v>
      </c>
    </row>
    <row r="38" spans="1:10" ht="13.5" thickBot="1">
      <c r="A38" s="82">
        <f>סיווג!A46</f>
        <v>33</v>
      </c>
      <c r="B38" s="83" t="str">
        <f>IF(סיווג!B46=0,"",סיווג!B46)</f>
        <v/>
      </c>
      <c r="C38" s="146"/>
      <c r="D38" s="271"/>
      <c r="E38" s="273" t="str">
        <f t="shared" si="0"/>
        <v/>
      </c>
      <c r="F38" s="84" t="str">
        <f>סיווג!X46</f>
        <v/>
      </c>
      <c r="G38" s="85" t="str">
        <f t="shared" si="1"/>
        <v/>
      </c>
      <c r="H38" s="86" t="str">
        <f t="shared" si="2"/>
        <v/>
      </c>
      <c r="J38">
        <f t="shared" si="3"/>
        <v>0</v>
      </c>
    </row>
    <row r="39" spans="1:10" ht="14.25" thickTop="1" thickBot="1">
      <c r="A39" s="618" t="s">
        <v>26</v>
      </c>
      <c r="B39" s="619"/>
      <c r="C39" s="148">
        <f>SUM(C6:C38)</f>
        <v>1316.1999999999998</v>
      </c>
      <c r="D39" s="148"/>
      <c r="E39" s="148"/>
      <c r="F39" s="6"/>
      <c r="G39" s="6">
        <f>SUM(G6:G38)</f>
        <v>840.15500000000009</v>
      </c>
      <c r="H39" s="7">
        <f>SUM(H6:H38)</f>
        <v>0.99999999999999989</v>
      </c>
    </row>
    <row r="40" spans="1:10" ht="13.5" thickTop="1"/>
  </sheetData>
  <sheetProtection password="CC01" sheet="1" objects="1" scenarios="1" formatColumns="0" formatRows="0"/>
  <mergeCells count="10">
    <mergeCell ref="A3:H3"/>
    <mergeCell ref="A39:B39"/>
    <mergeCell ref="B1:C1"/>
    <mergeCell ref="B2:C2"/>
    <mergeCell ref="A4:A5"/>
    <mergeCell ref="B4:B5"/>
    <mergeCell ref="C4:E4"/>
    <mergeCell ref="F4:F5"/>
    <mergeCell ref="G4:G5"/>
    <mergeCell ref="H4:H5"/>
  </mergeCells>
  <phoneticPr fontId="5" type="noConversion"/>
  <conditionalFormatting sqref="E6:E38">
    <cfRule type="expression" dxfId="109" priority="1" stopIfTrue="1">
      <formula>IF(E6&gt;C6,1,0)</formula>
    </cfRule>
  </conditionalFormatting>
  <dataValidations count="1">
    <dataValidation type="decimal" errorStyle="warning" operator="greaterThanOrEqual" allowBlank="1" showInputMessage="1" showErrorMessage="1" errorTitle="טעות בהזנה" error="יש להזין ניקוד הפקות כמספר הגדול או שווה לאפס" sqref="C6:D38">
      <formula1>0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indexed="46"/>
    <pageSetUpPr fitToPage="1"/>
  </sheetPr>
  <dimension ref="A1:L40"/>
  <sheetViews>
    <sheetView rightToLeft="1" view="pageBreakPreview" zoomScale="80" zoomScaleSheetLayoutView="80" workbookViewId="0">
      <selection activeCell="A14" sqref="A14:XFD14"/>
    </sheetView>
  </sheetViews>
  <sheetFormatPr defaultRowHeight="12.75"/>
  <cols>
    <col min="1" max="1" width="10" bestFit="1" customWidth="1"/>
    <col min="2" max="2" width="18.140625" customWidth="1"/>
    <col min="3" max="3" width="9.5703125" customWidth="1"/>
    <col min="4" max="4" width="9.5703125" hidden="1" customWidth="1"/>
    <col min="5" max="5" width="16.28515625" bestFit="1" customWidth="1"/>
    <col min="6" max="6" width="9.85546875" customWidth="1"/>
    <col min="7" max="7" width="11.140625" customWidth="1"/>
    <col min="8" max="8" width="10.28515625" customWidth="1"/>
    <col min="10" max="10" width="0" hidden="1" customWidth="1"/>
  </cols>
  <sheetData>
    <row r="1" spans="1:12" ht="17.25" thickTop="1" thickBot="1">
      <c r="B1" s="620" t="str">
        <f>פרמטרים!B1</f>
        <v>שנת התקציב</v>
      </c>
      <c r="C1" s="621"/>
      <c r="E1" s="152">
        <f>פרמטרים!D1</f>
        <v>2018</v>
      </c>
    </row>
    <row r="2" spans="1:12" ht="16.5" thickBot="1">
      <c r="B2" s="622" t="str">
        <f>פרמטרים!B2</f>
        <v>תקציב</v>
      </c>
      <c r="C2" s="623"/>
      <c r="E2" s="140">
        <f>פרמטרים!D2</f>
        <v>98822015</v>
      </c>
    </row>
    <row r="3" spans="1:12" ht="17.25" thickTop="1" thickBot="1">
      <c r="A3" s="615" t="s">
        <v>153</v>
      </c>
      <c r="B3" s="616"/>
      <c r="C3" s="616"/>
      <c r="D3" s="616"/>
      <c r="E3" s="616"/>
      <c r="F3" s="616"/>
      <c r="G3" s="616"/>
      <c r="H3" s="617"/>
    </row>
    <row r="4" spans="1:12" ht="17.25" thickTop="1" thickBot="1">
      <c r="A4" s="624" t="str">
        <f>סיווג!A12</f>
        <v>מספר סידורי</v>
      </c>
      <c r="B4" s="626" t="str">
        <f>סיווג!B12</f>
        <v>שם התיאטרון</v>
      </c>
      <c r="C4" s="627" t="s">
        <v>155</v>
      </c>
      <c r="D4" s="628"/>
      <c r="E4" s="629"/>
      <c r="F4" s="626" t="s">
        <v>150</v>
      </c>
      <c r="G4" s="626" t="s">
        <v>236</v>
      </c>
      <c r="H4" s="630" t="s">
        <v>154</v>
      </c>
    </row>
    <row r="5" spans="1:12" ht="13.5" thickBot="1">
      <c r="A5" s="625"/>
      <c r="B5" s="614"/>
      <c r="C5" s="269" t="str">
        <f>הפקות!C5</f>
        <v xml:space="preserve"> שנת 2016</v>
      </c>
      <c r="D5" s="269" t="e">
        <f>הפקות!D5</f>
        <v>#VALUE!</v>
      </c>
      <c r="E5" s="269" t="str">
        <f>הפקות!E5</f>
        <v xml:space="preserve"> שנת 2017</v>
      </c>
      <c r="F5" s="614"/>
      <c r="G5" s="614"/>
      <c r="H5" s="631"/>
    </row>
    <row r="6" spans="1:12">
      <c r="A6" s="78">
        <f>סיווג!A14</f>
        <v>1</v>
      </c>
      <c r="B6" s="79" t="str">
        <f>IF(סיווג!B14=0,"",סיווג!B14)</f>
        <v>הבימה</v>
      </c>
      <c r="C6" s="144">
        <v>9504.7999999999993</v>
      </c>
      <c r="D6" s="270"/>
      <c r="E6" s="272">
        <f t="shared" ref="E6:E38" si="0">IF($B6="","",MAX(C6:D6))</f>
        <v>9504.7999999999993</v>
      </c>
      <c r="F6" s="84">
        <f>סיווג!X14</f>
        <v>1</v>
      </c>
      <c r="G6" s="85">
        <f t="shared" ref="G6:G38" si="1">IF(ISERR(F6*C6),"",F6*E6)</f>
        <v>9504.7999999999993</v>
      </c>
      <c r="H6" s="86">
        <f t="shared" ref="H6:H38" si="2">IF(ISERR(G6/$G$39),"",G6/$G$39)</f>
        <v>0.12950349183095769</v>
      </c>
      <c r="J6">
        <f>IF(B6="",0,IF(OR(ISERR(C6/3),C6&lt;0),0,C6))</f>
        <v>9504.7999999999993</v>
      </c>
      <c r="L6" s="3"/>
    </row>
    <row r="7" spans="1:12">
      <c r="A7" s="80">
        <f>סיווג!A15</f>
        <v>2</v>
      </c>
      <c r="B7" s="81" t="str">
        <f>IF(סיווג!B15=0,"",סיווג!B15)</f>
        <v>הקאמרי</v>
      </c>
      <c r="C7" s="145">
        <v>15221.4</v>
      </c>
      <c r="D7" s="270"/>
      <c r="E7" s="272">
        <f t="shared" si="0"/>
        <v>15221.4</v>
      </c>
      <c r="F7" s="84">
        <f>סיווג!X15</f>
        <v>1</v>
      </c>
      <c r="G7" s="85">
        <f t="shared" si="1"/>
        <v>15221.4</v>
      </c>
      <c r="H7" s="86">
        <f t="shared" si="2"/>
        <v>0.20739252278382914</v>
      </c>
      <c r="J7">
        <f t="shared" ref="J7:J38" si="3">IF(B7="",0,IF(OR(ISERR(C7/3),C7&lt;0),0,C7))</f>
        <v>15221.4</v>
      </c>
      <c r="L7" s="3"/>
    </row>
    <row r="8" spans="1:12">
      <c r="A8" s="80">
        <f>סיווג!A16</f>
        <v>3</v>
      </c>
      <c r="B8" s="81" t="str">
        <f>IF(סיווג!B16=0,"",סיווג!B16)</f>
        <v>בית לסין</v>
      </c>
      <c r="C8" s="145">
        <v>10142</v>
      </c>
      <c r="D8" s="270"/>
      <c r="E8" s="272">
        <f t="shared" si="0"/>
        <v>10142</v>
      </c>
      <c r="F8" s="84">
        <f>סיווג!X16</f>
        <v>1</v>
      </c>
      <c r="G8" s="85">
        <f t="shared" si="1"/>
        <v>10142</v>
      </c>
      <c r="H8" s="86">
        <f t="shared" si="2"/>
        <v>0.13818538150719351</v>
      </c>
      <c r="J8">
        <f t="shared" si="3"/>
        <v>10142</v>
      </c>
      <c r="L8" s="3"/>
    </row>
    <row r="9" spans="1:12">
      <c r="A9" s="80">
        <f>סיווג!A17</f>
        <v>4</v>
      </c>
      <c r="B9" s="81" t="str">
        <f>IF(סיווג!B17=0,"",סיווג!B17)</f>
        <v>חיפה</v>
      </c>
      <c r="C9" s="145">
        <v>3295.5</v>
      </c>
      <c r="D9" s="270"/>
      <c r="E9" s="272">
        <f t="shared" si="0"/>
        <v>3295.5</v>
      </c>
      <c r="F9" s="84">
        <f>סיווג!X17</f>
        <v>0.8</v>
      </c>
      <c r="G9" s="85">
        <f t="shared" si="1"/>
        <v>2636.4</v>
      </c>
      <c r="H9" s="86">
        <f t="shared" si="2"/>
        <v>3.5921114159491715E-2</v>
      </c>
      <c r="J9">
        <f t="shared" si="3"/>
        <v>3295.5</v>
      </c>
      <c r="L9" s="3"/>
    </row>
    <row r="10" spans="1:12">
      <c r="A10" s="80">
        <f>סיווג!A18</f>
        <v>5</v>
      </c>
      <c r="B10" s="81" t="str">
        <f>IF(סיווג!B18=0,"",סיווג!B18)</f>
        <v>באר שבע</v>
      </c>
      <c r="C10" s="145">
        <v>3056.5</v>
      </c>
      <c r="D10" s="270"/>
      <c r="E10" s="272">
        <f t="shared" si="0"/>
        <v>3056.5</v>
      </c>
      <c r="F10" s="84">
        <f>סיווג!X18</f>
        <v>0.8</v>
      </c>
      <c r="G10" s="85">
        <f t="shared" si="1"/>
        <v>2445.2000000000003</v>
      </c>
      <c r="H10" s="86">
        <f t="shared" si="2"/>
        <v>3.3316002254130311E-2</v>
      </c>
      <c r="J10">
        <f t="shared" si="3"/>
        <v>3056.5</v>
      </c>
      <c r="L10" s="3"/>
    </row>
    <row r="11" spans="1:12">
      <c r="A11" s="80">
        <f>סיווג!A19</f>
        <v>6</v>
      </c>
      <c r="B11" s="81" t="str">
        <f>IF(סיווג!B19=0,"",סיווג!B19)</f>
        <v>גשר</v>
      </c>
      <c r="C11" s="145">
        <v>2519.3000000000002</v>
      </c>
      <c r="D11" s="270"/>
      <c r="E11" s="272">
        <f t="shared" si="0"/>
        <v>2519.3000000000002</v>
      </c>
      <c r="F11" s="84">
        <f>סיווג!X19</f>
        <v>0.8</v>
      </c>
      <c r="G11" s="85">
        <f t="shared" si="1"/>
        <v>2015.4400000000003</v>
      </c>
      <c r="H11" s="86">
        <f t="shared" si="2"/>
        <v>2.7460495494464419E-2</v>
      </c>
      <c r="J11">
        <f t="shared" si="3"/>
        <v>2519.3000000000002</v>
      </c>
      <c r="L11" s="3"/>
    </row>
    <row r="12" spans="1:12">
      <c r="A12" s="80">
        <f>סיווג!A20</f>
        <v>7</v>
      </c>
      <c r="B12" s="81" t="str">
        <f>IF(סיווג!B20=0,"",סיווג!B20)</f>
        <v>החאן</v>
      </c>
      <c r="C12" s="145">
        <v>2527.3000000000002</v>
      </c>
      <c r="D12" s="270"/>
      <c r="E12" s="272">
        <f t="shared" si="0"/>
        <v>2527.3000000000002</v>
      </c>
      <c r="F12" s="84">
        <f>סיווג!X20</f>
        <v>0.8</v>
      </c>
      <c r="G12" s="85">
        <f t="shared" si="1"/>
        <v>2021.8400000000001</v>
      </c>
      <c r="H12" s="86">
        <f t="shared" si="2"/>
        <v>2.7547695892970236E-2</v>
      </c>
      <c r="J12">
        <f t="shared" si="3"/>
        <v>2527.3000000000002</v>
      </c>
      <c r="L12" s="3"/>
    </row>
    <row r="13" spans="1:12">
      <c r="A13" s="80">
        <f>סיווג!A21</f>
        <v>8</v>
      </c>
      <c r="B13" s="81" t="str">
        <f>IF(סיווג!B21=0,"",סיווג!B21)</f>
        <v>היידישפיל</v>
      </c>
      <c r="C13" s="145">
        <v>2757.1</v>
      </c>
      <c r="D13" s="270"/>
      <c r="E13" s="272">
        <f t="shared" si="0"/>
        <v>2757.1</v>
      </c>
      <c r="F13" s="84">
        <f>סיווג!X21</f>
        <v>0.8</v>
      </c>
      <c r="G13" s="85">
        <f t="shared" si="1"/>
        <v>2205.6799999999998</v>
      </c>
      <c r="H13" s="86">
        <f t="shared" si="2"/>
        <v>3.0052527340049946E-2</v>
      </c>
      <c r="J13">
        <f t="shared" si="3"/>
        <v>2757.1</v>
      </c>
      <c r="L13" s="3"/>
    </row>
    <row r="14" spans="1:12">
      <c r="A14" s="80">
        <f>סיווג!A22</f>
        <v>9</v>
      </c>
      <c r="B14" s="81" t="str">
        <f>IF(סיווג!B22=0,"",סיווג!B22)</f>
        <v>תיאטרון אלמידאן</v>
      </c>
      <c r="C14" s="145">
        <v>14.2</v>
      </c>
      <c r="D14" s="270"/>
      <c r="E14" s="272">
        <f t="shared" si="0"/>
        <v>14.2</v>
      </c>
      <c r="F14" s="84">
        <f>סיווג!X22</f>
        <v>0</v>
      </c>
      <c r="G14" s="85">
        <f t="shared" si="1"/>
        <v>0</v>
      </c>
      <c r="H14" s="86">
        <f t="shared" si="2"/>
        <v>0</v>
      </c>
      <c r="J14">
        <f t="shared" si="3"/>
        <v>14.2</v>
      </c>
      <c r="L14" s="3"/>
    </row>
    <row r="15" spans="1:12">
      <c r="A15" s="80">
        <f>סיווג!A23</f>
        <v>10</v>
      </c>
      <c r="B15" s="81" t="str">
        <f>IF(סיווג!B23=0,"",סיווג!B23)</f>
        <v>הזירה הבין תחומית</v>
      </c>
      <c r="C15" s="145">
        <v>549.9</v>
      </c>
      <c r="D15" s="270"/>
      <c r="E15" s="272">
        <f t="shared" si="0"/>
        <v>549.9</v>
      </c>
      <c r="F15" s="84">
        <f>סיווג!X23</f>
        <v>0.25</v>
      </c>
      <c r="G15" s="85">
        <f t="shared" si="1"/>
        <v>137.47499999999999</v>
      </c>
      <c r="H15" s="86">
        <f t="shared" si="2"/>
        <v>1.8731054350918386E-3</v>
      </c>
      <c r="J15">
        <f t="shared" si="3"/>
        <v>549.9</v>
      </c>
      <c r="L15" s="3"/>
    </row>
    <row r="16" spans="1:12">
      <c r="A16" s="80">
        <f>סיווג!A24</f>
        <v>11</v>
      </c>
      <c r="B16" s="81" t="str">
        <f>IF(סיווג!B24=0,"",סיווג!B24)</f>
        <v>אספקלריא</v>
      </c>
      <c r="C16" s="145">
        <v>1255.5</v>
      </c>
      <c r="D16" s="270"/>
      <c r="E16" s="272">
        <f t="shared" si="0"/>
        <v>1255.5</v>
      </c>
      <c r="F16" s="84">
        <f>סיווג!X24</f>
        <v>0.25</v>
      </c>
      <c r="G16" s="85">
        <f t="shared" si="1"/>
        <v>313.875</v>
      </c>
      <c r="H16" s="86">
        <f t="shared" si="2"/>
        <v>4.2765664189085353E-3</v>
      </c>
      <c r="J16">
        <f t="shared" si="3"/>
        <v>1255.5</v>
      </c>
      <c r="L16" s="3"/>
    </row>
    <row r="17" spans="1:12">
      <c r="A17" s="80">
        <f>סיווג!A25</f>
        <v>12</v>
      </c>
      <c r="B17" s="81" t="str">
        <f>IF(סיווג!B25=0,"",סיווג!B25)</f>
        <v/>
      </c>
      <c r="C17" s="145"/>
      <c r="D17" s="270"/>
      <c r="E17" s="272" t="str">
        <f t="shared" si="0"/>
        <v/>
      </c>
      <c r="F17" s="84" t="str">
        <f>סיווג!X25</f>
        <v/>
      </c>
      <c r="G17" s="85" t="str">
        <f t="shared" si="1"/>
        <v/>
      </c>
      <c r="H17" s="86" t="str">
        <f t="shared" si="2"/>
        <v/>
      </c>
      <c r="J17">
        <f t="shared" si="3"/>
        <v>0</v>
      </c>
      <c r="L17" s="3"/>
    </row>
    <row r="18" spans="1:12">
      <c r="A18" s="80">
        <f>סיווג!A26</f>
        <v>13</v>
      </c>
      <c r="B18" s="81" t="str">
        <f>IF(סיווג!B26=0,"",סיווג!B26)</f>
        <v>עכו</v>
      </c>
      <c r="C18" s="145">
        <v>1059.5</v>
      </c>
      <c r="D18" s="270"/>
      <c r="E18" s="272">
        <f t="shared" si="0"/>
        <v>1059.5</v>
      </c>
      <c r="F18" s="84">
        <f>סיווג!X26</f>
        <v>0.25</v>
      </c>
      <c r="G18" s="85">
        <f t="shared" si="1"/>
        <v>264.875</v>
      </c>
      <c r="H18" s="86">
        <f t="shared" si="2"/>
        <v>3.6089383678483415E-3</v>
      </c>
      <c r="J18">
        <f t="shared" si="3"/>
        <v>1059.5</v>
      </c>
      <c r="L18" s="3"/>
    </row>
    <row r="19" spans="1:12">
      <c r="A19" s="80">
        <f>סיווג!A27</f>
        <v>14</v>
      </c>
      <c r="B19" s="81" t="str">
        <f>IF(סיווג!B27=0,"",סיווג!B27)</f>
        <v>הספרייה</v>
      </c>
      <c r="C19" s="145">
        <v>1733.5</v>
      </c>
      <c r="D19" s="270"/>
      <c r="E19" s="272">
        <f t="shared" si="0"/>
        <v>1733.5</v>
      </c>
      <c r="F19" s="84">
        <f>סיווג!X27</f>
        <v>0.25</v>
      </c>
      <c r="G19" s="85">
        <f t="shared" si="1"/>
        <v>433.375</v>
      </c>
      <c r="H19" s="86">
        <f t="shared" si="2"/>
        <v>5.9047613597594147E-3</v>
      </c>
      <c r="J19">
        <f t="shared" si="3"/>
        <v>1733.5</v>
      </c>
      <c r="L19" s="3"/>
    </row>
    <row r="20" spans="1:12">
      <c r="A20" s="80">
        <f>סיווג!A28</f>
        <v>15</v>
      </c>
      <c r="B20" s="81" t="str">
        <f>IF(סיווג!B28=0,"",סיווג!B28)</f>
        <v>יפו</v>
      </c>
      <c r="C20" s="145">
        <v>900.6</v>
      </c>
      <c r="D20" s="270"/>
      <c r="E20" s="272">
        <f t="shared" si="0"/>
        <v>900.6</v>
      </c>
      <c r="F20" s="84">
        <f>סיווג!X28</f>
        <v>0.25</v>
      </c>
      <c r="G20" s="85">
        <f t="shared" si="1"/>
        <v>225.15</v>
      </c>
      <c r="H20" s="86">
        <f t="shared" si="2"/>
        <v>3.0676827693102561E-3</v>
      </c>
      <c r="J20">
        <f t="shared" si="3"/>
        <v>900.6</v>
      </c>
      <c r="L20" s="3"/>
    </row>
    <row r="21" spans="1:12">
      <c r="A21" s="80">
        <f>סיווג!A29</f>
        <v>16</v>
      </c>
      <c r="B21" s="81" t="str">
        <f>IF(סיווג!B29=0,"",סיווג!B29)</f>
        <v/>
      </c>
      <c r="C21" s="145"/>
      <c r="D21" s="270"/>
      <c r="E21" s="272" t="str">
        <f t="shared" si="0"/>
        <v/>
      </c>
      <c r="F21" s="84" t="str">
        <f>סיווג!X29</f>
        <v/>
      </c>
      <c r="G21" s="85" t="str">
        <f t="shared" si="1"/>
        <v/>
      </c>
      <c r="H21" s="86" t="str">
        <f t="shared" si="2"/>
        <v/>
      </c>
      <c r="J21">
        <f t="shared" si="3"/>
        <v>0</v>
      </c>
      <c r="L21" s="3"/>
    </row>
    <row r="22" spans="1:12">
      <c r="A22" s="80">
        <f>סיווג!A30</f>
        <v>17</v>
      </c>
      <c r="B22" s="81" t="str">
        <f>IF(סיווג!B30=0,"",סיווג!B30)</f>
        <v>אינקובטור</v>
      </c>
      <c r="C22" s="145">
        <v>1527.8</v>
      </c>
      <c r="D22" s="270"/>
      <c r="E22" s="272">
        <f t="shared" si="0"/>
        <v>1527.8</v>
      </c>
      <c r="F22" s="84">
        <f>סיווג!X30</f>
        <v>0.25</v>
      </c>
      <c r="G22" s="85">
        <f t="shared" si="1"/>
        <v>381.95</v>
      </c>
      <c r="H22" s="86">
        <f t="shared" si="2"/>
        <v>5.2040925327028753E-3</v>
      </c>
      <c r="J22">
        <f t="shared" si="3"/>
        <v>1527.8</v>
      </c>
      <c r="L22" s="3"/>
    </row>
    <row r="23" spans="1:12">
      <c r="A23" s="80">
        <f>סיווג!A31</f>
        <v>18</v>
      </c>
      <c r="B23" s="81" t="str">
        <f>IF(סיווג!B31=0,"",סיווג!B31)</f>
        <v>אורנה פורת</v>
      </c>
      <c r="C23" s="145">
        <v>12213.6</v>
      </c>
      <c r="D23" s="270"/>
      <c r="E23" s="272">
        <f t="shared" si="0"/>
        <v>12213.6</v>
      </c>
      <c r="F23" s="84">
        <f>סיווג!X31</f>
        <v>0.6</v>
      </c>
      <c r="G23" s="85">
        <f t="shared" si="1"/>
        <v>7328.16</v>
      </c>
      <c r="H23" s="86">
        <f t="shared" si="2"/>
        <v>9.9846636299127906E-2</v>
      </c>
      <c r="J23">
        <f t="shared" si="3"/>
        <v>12213.6</v>
      </c>
      <c r="L23" s="3"/>
    </row>
    <row r="24" spans="1:12">
      <c r="A24" s="80">
        <f>סיווג!A32</f>
        <v>19</v>
      </c>
      <c r="B24" s="81" t="str">
        <f>IF(סיווג!B32=0,"",סיווג!B32)</f>
        <v>ארצי לנוער</v>
      </c>
      <c r="C24" s="145">
        <v>8146</v>
      </c>
      <c r="D24" s="270"/>
      <c r="E24" s="272">
        <f t="shared" si="0"/>
        <v>8146</v>
      </c>
      <c r="F24" s="84">
        <f>סיווג!X32</f>
        <v>0.6</v>
      </c>
      <c r="G24" s="85">
        <f t="shared" si="1"/>
        <v>4887.5999999999995</v>
      </c>
      <c r="H24" s="86">
        <f t="shared" si="2"/>
        <v>6.6593854333914307E-2</v>
      </c>
      <c r="J24">
        <f t="shared" si="3"/>
        <v>8146</v>
      </c>
    </row>
    <row r="25" spans="1:12">
      <c r="A25" s="80">
        <f>סיווג!A33</f>
        <v>20</v>
      </c>
      <c r="B25" s="81" t="str">
        <f>IF(סיווג!B33=0,"",סיווג!B33)</f>
        <v>הקיבוץ</v>
      </c>
      <c r="C25" s="145">
        <v>2889.3</v>
      </c>
      <c r="D25" s="270"/>
      <c r="E25" s="272">
        <f t="shared" si="0"/>
        <v>2889.3</v>
      </c>
      <c r="F25" s="84">
        <f>סיווג!X33</f>
        <v>0.2</v>
      </c>
      <c r="G25" s="85">
        <f t="shared" si="1"/>
        <v>577.86</v>
      </c>
      <c r="H25" s="86">
        <f t="shared" si="2"/>
        <v>7.8733784813396612E-3</v>
      </c>
      <c r="J25">
        <f t="shared" si="3"/>
        <v>2889.3</v>
      </c>
    </row>
    <row r="26" spans="1:12">
      <c r="A26" s="80">
        <f>סיווג!A34</f>
        <v>21</v>
      </c>
      <c r="B26" s="81" t="str">
        <f>IF(סיווג!B34=0,"",סיווג!B34)</f>
        <v>הקרון</v>
      </c>
      <c r="C26" s="145">
        <v>4461.5</v>
      </c>
      <c r="D26" s="270"/>
      <c r="E26" s="272">
        <f t="shared" si="0"/>
        <v>4461.5</v>
      </c>
      <c r="F26" s="84">
        <f>סיווג!X34</f>
        <v>0.2</v>
      </c>
      <c r="G26" s="85">
        <f t="shared" si="1"/>
        <v>892.30000000000007</v>
      </c>
      <c r="H26" s="86">
        <f t="shared" si="2"/>
        <v>1.215764306042879E-2</v>
      </c>
      <c r="J26">
        <f t="shared" si="3"/>
        <v>4461.5</v>
      </c>
    </row>
    <row r="27" spans="1:12">
      <c r="A27" s="80">
        <f>סיווג!A35</f>
        <v>22</v>
      </c>
      <c r="B27" s="81" t="str">
        <f>IF(סיווג!B35=0,"",סיווג!B35)</f>
        <v>בית הגפן</v>
      </c>
      <c r="C27" s="145">
        <v>1550.5</v>
      </c>
      <c r="D27" s="270"/>
      <c r="E27" s="272">
        <f t="shared" si="0"/>
        <v>1550.5</v>
      </c>
      <c r="F27" s="84">
        <f>סיווג!X35</f>
        <v>0.2</v>
      </c>
      <c r="G27" s="85">
        <f t="shared" si="1"/>
        <v>310.10000000000002</v>
      </c>
      <c r="H27" s="86">
        <f t="shared" si="2"/>
        <v>4.2251318088523671E-3</v>
      </c>
      <c r="J27">
        <f t="shared" si="3"/>
        <v>1550.5</v>
      </c>
    </row>
    <row r="28" spans="1:12">
      <c r="A28" s="80">
        <f>סיווג!A36</f>
        <v>23</v>
      </c>
      <c r="B28" s="81" t="str">
        <f>IF(סיווג!B36=0,"",סיווג!B36)</f>
        <v>הנפש</v>
      </c>
      <c r="C28" s="145">
        <v>1848.8</v>
      </c>
      <c r="D28" s="270"/>
      <c r="E28" s="272">
        <f t="shared" si="0"/>
        <v>1848.8</v>
      </c>
      <c r="F28" s="84">
        <f>סיווג!X36</f>
        <v>0.2</v>
      </c>
      <c r="G28" s="85">
        <f t="shared" si="1"/>
        <v>369.76</v>
      </c>
      <c r="H28" s="86">
        <f t="shared" si="2"/>
        <v>5.0380030236738191E-3</v>
      </c>
      <c r="J28">
        <f t="shared" si="3"/>
        <v>1848.8</v>
      </c>
    </row>
    <row r="29" spans="1:12">
      <c r="A29" s="80">
        <f>סיווג!A37</f>
        <v>24</v>
      </c>
      <c r="B29" s="81" t="str">
        <f>IF(סיווג!B37=0,"",סיווג!B37)</f>
        <v>השעה</v>
      </c>
      <c r="C29" s="145">
        <v>12633</v>
      </c>
      <c r="D29" s="270"/>
      <c r="E29" s="272">
        <f t="shared" si="0"/>
        <v>12633</v>
      </c>
      <c r="F29" s="84">
        <f>סיווג!X37</f>
        <v>0.6</v>
      </c>
      <c r="G29" s="85">
        <f t="shared" si="1"/>
        <v>7579.7999999999993</v>
      </c>
      <c r="H29" s="86">
        <f t="shared" si="2"/>
        <v>0.10327524696787865</v>
      </c>
      <c r="J29">
        <f t="shared" si="3"/>
        <v>12633</v>
      </c>
    </row>
    <row r="30" spans="1:12">
      <c r="A30" s="80">
        <f>סיווג!A38</f>
        <v>25</v>
      </c>
      <c r="B30" s="81" t="str">
        <f>IF(סיווג!B38=0,"",סיווג!B38)</f>
        <v>עדי</v>
      </c>
      <c r="C30" s="145">
        <v>2272.8000000000002</v>
      </c>
      <c r="D30" s="270"/>
      <c r="E30" s="272">
        <f t="shared" si="0"/>
        <v>2272.8000000000002</v>
      </c>
      <c r="F30" s="84">
        <f>סיווג!X38</f>
        <v>0.2</v>
      </c>
      <c r="G30" s="85">
        <f t="shared" si="1"/>
        <v>454.56000000000006</v>
      </c>
      <c r="H30" s="86">
        <f t="shared" si="2"/>
        <v>6.1934083038759505E-3</v>
      </c>
      <c r="J30">
        <f t="shared" si="3"/>
        <v>2272.8000000000002</v>
      </c>
    </row>
    <row r="31" spans="1:12">
      <c r="A31" s="80">
        <f>סיווג!A39</f>
        <v>26</v>
      </c>
      <c r="B31" s="81" t="str">
        <f>IF(סיווג!B39=0,"",סיווג!B39)</f>
        <v>מדייטק</v>
      </c>
      <c r="C31" s="145">
        <v>4215.5</v>
      </c>
      <c r="D31" s="270"/>
      <c r="E31" s="272">
        <f t="shared" si="0"/>
        <v>4215.5</v>
      </c>
      <c r="F31" s="84">
        <f>סיווג!X39</f>
        <v>0.4</v>
      </c>
      <c r="G31" s="85">
        <f t="shared" si="1"/>
        <v>1686.2</v>
      </c>
      <c r="H31" s="86">
        <f t="shared" si="2"/>
        <v>2.2974579993830575E-2</v>
      </c>
      <c r="J31">
        <f t="shared" si="3"/>
        <v>4215.5</v>
      </c>
    </row>
    <row r="32" spans="1:12">
      <c r="A32" s="80">
        <f>סיווג!A40</f>
        <v>27</v>
      </c>
      <c r="B32" s="81" t="str">
        <f>IF(סיווג!B40=0,"",סיווג!B40)</f>
        <v>חני</v>
      </c>
      <c r="C32" s="145">
        <v>1184.5</v>
      </c>
      <c r="D32" s="270"/>
      <c r="E32" s="272">
        <f t="shared" si="0"/>
        <v>1184.5</v>
      </c>
      <c r="F32" s="84">
        <f>סיווג!X40</f>
        <v>0.2</v>
      </c>
      <c r="G32" s="85">
        <f t="shared" si="1"/>
        <v>236.9</v>
      </c>
      <c r="H32" s="86">
        <f t="shared" si="2"/>
        <v>3.2277772509420374E-3</v>
      </c>
      <c r="J32">
        <f t="shared" si="3"/>
        <v>1184.5</v>
      </c>
    </row>
    <row r="33" spans="1:10">
      <c r="A33" s="80">
        <f>סיווג!A41</f>
        <v>28</v>
      </c>
      <c r="B33" s="81" t="str">
        <f>IF(סיווג!B41=0,"",סיווג!B41)</f>
        <v xml:space="preserve">גשן </v>
      </c>
      <c r="C33" s="145">
        <v>3824.8</v>
      </c>
      <c r="D33" s="270"/>
      <c r="E33" s="272">
        <f t="shared" si="0"/>
        <v>3824.8</v>
      </c>
      <c r="F33" s="84">
        <f>סיווג!X41</f>
        <v>0.2</v>
      </c>
      <c r="G33" s="85">
        <f t="shared" si="1"/>
        <v>764.96</v>
      </c>
      <c r="H33" s="86">
        <f t="shared" si="2"/>
        <v>1.0422627631408278E-2</v>
      </c>
      <c r="J33">
        <f t="shared" si="3"/>
        <v>3824.8</v>
      </c>
    </row>
    <row r="34" spans="1:10">
      <c r="A34" s="80">
        <f>סיווג!A42</f>
        <v>29</v>
      </c>
      <c r="B34" s="81" t="str">
        <f>IF(סיווג!B42=0,"",סיווג!B42)</f>
        <v>תיאטרון העברי</v>
      </c>
      <c r="C34" s="145">
        <v>1426</v>
      </c>
      <c r="D34" s="270"/>
      <c r="E34" s="272">
        <f t="shared" si="0"/>
        <v>1426</v>
      </c>
      <c r="F34" s="84">
        <f>סיווג!X42</f>
        <v>0.25</v>
      </c>
      <c r="G34" s="85">
        <f t="shared" si="1"/>
        <v>356.5</v>
      </c>
      <c r="H34" s="86">
        <f t="shared" si="2"/>
        <v>4.8573346980195706E-3</v>
      </c>
      <c r="J34">
        <f t="shared" si="3"/>
        <v>1426</v>
      </c>
    </row>
    <row r="35" spans="1:10">
      <c r="A35" s="80">
        <f>סיווג!A43</f>
        <v>30</v>
      </c>
      <c r="B35" s="81" t="str">
        <f>IF(סיווג!B43=0,"",סיווג!B43)</f>
        <v>גליון ריק 2</v>
      </c>
      <c r="C35" s="145"/>
      <c r="D35" s="270"/>
      <c r="E35" s="272">
        <f t="shared" si="0"/>
        <v>0</v>
      </c>
      <c r="F35" s="84">
        <f>סיווג!X43</f>
        <v>0</v>
      </c>
      <c r="G35" s="85">
        <f t="shared" si="1"/>
        <v>0</v>
      </c>
      <c r="H35" s="86">
        <f t="shared" si="2"/>
        <v>0</v>
      </c>
      <c r="J35">
        <f t="shared" si="3"/>
        <v>0</v>
      </c>
    </row>
    <row r="36" spans="1:10">
      <c r="A36" s="80">
        <f>סיווג!A44</f>
        <v>31</v>
      </c>
      <c r="B36" s="81" t="str">
        <f>IF(סיווג!B44=0,"",סיווג!B44)</f>
        <v>גליון ריק 3</v>
      </c>
      <c r="C36" s="145"/>
      <c r="D36" s="270"/>
      <c r="E36" s="272">
        <f t="shared" si="0"/>
        <v>0</v>
      </c>
      <c r="F36" s="84">
        <f>סיווג!X44</f>
        <v>0</v>
      </c>
      <c r="G36" s="85">
        <f t="shared" si="1"/>
        <v>0</v>
      </c>
      <c r="H36" s="86">
        <f t="shared" si="2"/>
        <v>0</v>
      </c>
      <c r="J36">
        <f t="shared" si="3"/>
        <v>0</v>
      </c>
    </row>
    <row r="37" spans="1:10">
      <c r="A37" s="80">
        <f>סיווג!A45</f>
        <v>32</v>
      </c>
      <c r="B37" s="81" t="str">
        <f>IF(סיווג!B45=0,"",סיווג!B45)</f>
        <v/>
      </c>
      <c r="C37" s="145"/>
      <c r="D37" s="270"/>
      <c r="E37" s="272" t="str">
        <f t="shared" si="0"/>
        <v/>
      </c>
      <c r="F37" s="84" t="str">
        <f>סיווג!X45</f>
        <v/>
      </c>
      <c r="G37" s="85" t="str">
        <f t="shared" si="1"/>
        <v/>
      </c>
      <c r="H37" s="86" t="str">
        <f t="shared" si="2"/>
        <v/>
      </c>
      <c r="J37">
        <f t="shared" si="3"/>
        <v>0</v>
      </c>
    </row>
    <row r="38" spans="1:10" ht="13.5" thickBot="1">
      <c r="A38" s="82">
        <f>סיווג!A46</f>
        <v>33</v>
      </c>
      <c r="B38" s="83" t="str">
        <f>IF(סיווג!B46=0,"",סיווג!B46)</f>
        <v/>
      </c>
      <c r="C38" s="146"/>
      <c r="D38" s="271"/>
      <c r="E38" s="273" t="str">
        <f t="shared" si="0"/>
        <v/>
      </c>
      <c r="F38" s="84" t="str">
        <f>סיווג!X46</f>
        <v/>
      </c>
      <c r="G38" s="85" t="str">
        <f t="shared" si="1"/>
        <v/>
      </c>
      <c r="H38" s="86" t="str">
        <f t="shared" si="2"/>
        <v/>
      </c>
      <c r="J38">
        <f t="shared" si="3"/>
        <v>0</v>
      </c>
    </row>
    <row r="39" spans="1:10" ht="14.25" thickTop="1" thickBot="1">
      <c r="A39" s="618" t="s">
        <v>26</v>
      </c>
      <c r="B39" s="619"/>
      <c r="C39" s="148">
        <f>SUM(C6:C38)</f>
        <v>112731.20000000001</v>
      </c>
      <c r="D39" s="148"/>
      <c r="E39" s="148"/>
      <c r="F39" s="6"/>
      <c r="G39" s="6">
        <f>SUM(G6:G38)</f>
        <v>73394.159999999989</v>
      </c>
      <c r="H39" s="7">
        <f>SUM(H6:H38)</f>
        <v>1</v>
      </c>
    </row>
    <row r="40" spans="1:10" ht="13.5" thickTop="1"/>
  </sheetData>
  <sheetProtection password="CC01" sheet="1" objects="1" scenarios="1" formatColumns="0" formatRows="0"/>
  <mergeCells count="10">
    <mergeCell ref="A3:H3"/>
    <mergeCell ref="A39:B39"/>
    <mergeCell ref="B1:C1"/>
    <mergeCell ref="B2:C2"/>
    <mergeCell ref="C4:E4"/>
    <mergeCell ref="A4:A5"/>
    <mergeCell ref="B4:B5"/>
    <mergeCell ref="F4:F5"/>
    <mergeCell ref="G4:G5"/>
    <mergeCell ref="H4:H5"/>
  </mergeCells>
  <phoneticPr fontId="5" type="noConversion"/>
  <conditionalFormatting sqref="E6:E38">
    <cfRule type="expression" dxfId="108" priority="1" stopIfTrue="1">
      <formula>IF(E6&gt;C6,1,0)</formula>
    </cfRule>
  </conditionalFormatting>
  <dataValidations count="1">
    <dataValidation type="decimal" errorStyle="warning" operator="greaterThanOrEqual" allowBlank="1" showInputMessage="1" showErrorMessage="1" errorTitle="טעות בהזנה" error="יש להזין ניקוד הרצות כמספר שאינו שלילי" sqref="C6:D38">
      <formula1>0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  <rowBreaks count="1" manualBreakCount="1">
    <brk id="1" max="7" man="1"/>
  </rowBreaks>
  <colBreaks count="1" manualBreakCount="1">
    <brk id="4" max="3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46"/>
    <pageSetUpPr fitToPage="1"/>
  </sheetPr>
  <dimension ref="A1:O45"/>
  <sheetViews>
    <sheetView rightToLeft="1" view="pageBreakPreview" workbookViewId="0">
      <selection activeCell="B19" sqref="B19"/>
    </sheetView>
  </sheetViews>
  <sheetFormatPr defaultRowHeight="12.75" outlineLevelRow="1"/>
  <cols>
    <col min="1" max="1" width="10" bestFit="1" customWidth="1"/>
    <col min="2" max="2" width="26.5703125" customWidth="1"/>
    <col min="3" max="3" width="16.140625" customWidth="1"/>
    <col min="4" max="4" width="15.140625" customWidth="1"/>
    <col min="5" max="5" width="9.7109375" customWidth="1"/>
    <col min="6" max="6" width="25.140625" customWidth="1"/>
    <col min="7" max="7" width="9.7109375" customWidth="1"/>
    <col min="8" max="8" width="13.42578125" customWidth="1"/>
    <col min="9" max="9" width="15.7109375" bestFit="1" customWidth="1"/>
    <col min="10" max="10" width="0" hidden="1" customWidth="1"/>
    <col min="11" max="11" width="20.85546875" hidden="1" customWidth="1"/>
    <col min="12" max="15" width="9.140625" hidden="1" customWidth="1"/>
  </cols>
  <sheetData>
    <row r="1" spans="1:15" ht="17.25" outlineLevel="1" thickTop="1" thickBot="1">
      <c r="B1" s="632" t="str">
        <f>פרמטרים!A17</f>
        <v>מפתח סימול ניקוד מיקום התיאטרון</v>
      </c>
      <c r="C1" s="633"/>
      <c r="D1" s="634"/>
      <c r="G1" s="620" t="str">
        <f>פרמטרים!B1</f>
        <v>שנת התקציב</v>
      </c>
      <c r="H1" s="621"/>
      <c r="I1" s="152">
        <f>פרמטרים!D1</f>
        <v>2018</v>
      </c>
    </row>
    <row r="2" spans="1:15" ht="17.25" outlineLevel="1" thickTop="1" thickBot="1">
      <c r="B2" s="22" t="str">
        <f>פרמטרים!A18</f>
        <v>מיקום</v>
      </c>
      <c r="C2" s="23" t="str">
        <f>פרמטרים!B18</f>
        <v>סימול מיקום</v>
      </c>
      <c r="D2" s="24" t="str">
        <f>פרמטרים!C18</f>
        <v>ניקוד מיקום</v>
      </c>
      <c r="G2" s="622" t="str">
        <f>פרמטרים!B2</f>
        <v>תקציב</v>
      </c>
      <c r="H2" s="623"/>
      <c r="I2" s="140">
        <f>פרמטרים!D2</f>
        <v>98822015</v>
      </c>
    </row>
    <row r="3" spans="1:15" hidden="1" outlineLevel="1">
      <c r="B3" s="11" t="str">
        <f>פרמטרים!A19</f>
        <v>תל אביב והסביבה</v>
      </c>
      <c r="C3" s="12" t="str">
        <f>פרמטרים!B19</f>
        <v>A</v>
      </c>
      <c r="D3" s="13">
        <f>פרמטרים!C19</f>
        <v>0</v>
      </c>
      <c r="E3" s="92"/>
      <c r="F3" s="92"/>
    </row>
    <row r="4" spans="1:15" ht="22.5" hidden="1" outlineLevel="1">
      <c r="B4" s="14" t="str">
        <f>פרמטרים!A20</f>
        <v>30 עד 59 ק"מ מתל אביב  (נתניה, חדרה, יבנה, גדרה)</v>
      </c>
      <c r="C4" s="15" t="str">
        <f>פרמטרים!B20</f>
        <v>B</v>
      </c>
      <c r="D4" s="16">
        <f>פרמטרים!C20</f>
        <v>1</v>
      </c>
      <c r="E4" s="92"/>
      <c r="F4" s="92"/>
      <c r="G4" s="92"/>
    </row>
    <row r="5" spans="1:15" ht="22.5" hidden="1" outlineLevel="1">
      <c r="B5" s="14" t="str">
        <f>פרמטרים!A21</f>
        <v>60 עד 100 ק"מ מתל אביב (ירושלים, חיפה)</v>
      </c>
      <c r="C5" s="15" t="str">
        <f>פרמטרים!B21</f>
        <v>C</v>
      </c>
      <c r="D5" s="16">
        <f>פרמטרים!C21</f>
        <v>2</v>
      </c>
      <c r="E5" s="92"/>
      <c r="F5" s="92"/>
      <c r="G5" s="92"/>
    </row>
    <row r="6" spans="1:15" ht="23.25" hidden="1" outlineLevel="1" thickBot="1">
      <c r="A6" s="101"/>
      <c r="B6" s="17" t="str">
        <f>פרמטרים!A22</f>
        <v>מעל 100 ק"מ מתל אביב (עכו, באר שבע, טבריה)</v>
      </c>
      <c r="C6" s="18" t="str">
        <f>פרמטרים!B22</f>
        <v>D</v>
      </c>
      <c r="D6" s="19">
        <f>פרמטרים!C22</f>
        <v>3</v>
      </c>
      <c r="E6" s="92"/>
      <c r="F6" s="92"/>
      <c r="G6" s="92"/>
      <c r="H6" s="101"/>
      <c r="I6" s="101"/>
    </row>
    <row r="7" spans="1:15" ht="14.25" hidden="1" outlineLevel="1" thickTop="1" thickBot="1">
      <c r="A7" s="21"/>
      <c r="B7" s="17" t="str">
        <f>פרמטרים!A23</f>
        <v>ניקוד לפריפריה</v>
      </c>
      <c r="C7" s="18"/>
      <c r="D7" s="19">
        <f>פרמטרים!C23</f>
        <v>3</v>
      </c>
      <c r="E7" s="21"/>
      <c r="F7" s="21"/>
      <c r="G7" s="21"/>
      <c r="H7" s="21"/>
      <c r="I7" s="21"/>
    </row>
    <row r="8" spans="1:15" ht="14.25" hidden="1" outlineLevel="1" thickTop="1" thickBot="1">
      <c r="A8" s="21"/>
      <c r="B8" s="21"/>
      <c r="C8" s="21"/>
      <c r="D8" s="21"/>
      <c r="E8" s="21"/>
      <c r="F8" s="21"/>
      <c r="G8" s="21"/>
      <c r="H8" s="21"/>
      <c r="I8" s="21"/>
    </row>
    <row r="9" spans="1:15" ht="17.25" collapsed="1" thickTop="1" thickBot="1">
      <c r="A9" s="615" t="s">
        <v>28</v>
      </c>
      <c r="B9" s="616"/>
      <c r="C9" s="616"/>
      <c r="D9" s="616"/>
      <c r="E9" s="616"/>
      <c r="F9" s="616"/>
      <c r="G9" s="616"/>
      <c r="H9" s="616"/>
      <c r="I9" s="617"/>
    </row>
    <row r="10" spans="1:15" ht="37.5" customHeight="1" thickTop="1" thickBot="1">
      <c r="A10" s="4" t="str">
        <f>סיווג!A12</f>
        <v>מספר סידורי</v>
      </c>
      <c r="B10" s="2" t="str">
        <f>סיווג!B12</f>
        <v>שם התיאטרון</v>
      </c>
      <c r="C10" s="2" t="s">
        <v>156</v>
      </c>
      <c r="D10" s="2" t="s">
        <v>157</v>
      </c>
      <c r="E10" s="2" t="s">
        <v>42</v>
      </c>
      <c r="F10" s="2" t="s">
        <v>239</v>
      </c>
      <c r="G10" s="2" t="s">
        <v>150</v>
      </c>
      <c r="H10" s="2" t="s">
        <v>35</v>
      </c>
      <c r="I10" s="5" t="s">
        <v>154</v>
      </c>
    </row>
    <row r="11" spans="1:15">
      <c r="A11" s="78">
        <f>סיווג!A14</f>
        <v>1</v>
      </c>
      <c r="B11" s="79" t="str">
        <f>IF(סיווג!B14=0,"",סיווג!B14)</f>
        <v>הבימה</v>
      </c>
      <c r="C11" s="70"/>
      <c r="D11" s="70"/>
      <c r="E11" s="71" t="s">
        <v>31</v>
      </c>
      <c r="F11" s="301">
        <v>0</v>
      </c>
      <c r="G11" s="87">
        <f>IF(B11="","",סיווג!X14)</f>
        <v>1</v>
      </c>
      <c r="H11" s="90">
        <f>IF(OR(G11="",K11&lt;&gt;"OK"),"",IF(AND(C11=1,D11=1),IF(F11=1,G11*$D$7,G11*VLOOKUP(E11,$C$3:$D$6,2,0)),0))</f>
        <v>0</v>
      </c>
      <c r="I11" s="91">
        <f t="shared" ref="I11:I43" si="0">IF(H11="","",IF($H$44=0,0,H11/$H$44))</f>
        <v>0</v>
      </c>
      <c r="K11" s="1" t="str">
        <f>IF(ISNA(VLOOKUP(E11,$C$3:$C$6,1,0)),"בדוק איות של הסיווג הידני","OK")</f>
        <v>OK</v>
      </c>
      <c r="L11" t="str">
        <f>IF(ISNA(VLOOKUP(E11,$C$3:$C$6,1,0)),"BAD",VLOOKUP(E11,$C$3:$C$6,1,0))</f>
        <v>A</v>
      </c>
      <c r="M11" t="str">
        <f>IF(OR(B11="",L11="BAD",K11&lt;&gt;"OK"),"BA",E11)</f>
        <v>A</v>
      </c>
      <c r="N11" s="3">
        <f>IF(ISNA(MATCH(C11,{0,1},0)),"B",C11)</f>
        <v>0</v>
      </c>
      <c r="O11" s="3">
        <f>IF(ISNA(MATCH(D11,{0,1},0)),"B",D11)</f>
        <v>0</v>
      </c>
    </row>
    <row r="12" spans="1:15">
      <c r="A12" s="80">
        <f>סיווג!A15</f>
        <v>2</v>
      </c>
      <c r="B12" s="81" t="str">
        <f>IF(סיווג!B15=0,"",סיווג!B15)</f>
        <v>הקאמרי</v>
      </c>
      <c r="C12" s="70"/>
      <c r="D12" s="70"/>
      <c r="E12" s="71" t="s">
        <v>31</v>
      </c>
      <c r="F12" s="301">
        <v>0</v>
      </c>
      <c r="G12" s="88">
        <f>IF(B12="","",סיווג!X15)</f>
        <v>1</v>
      </c>
      <c r="H12" s="90">
        <f t="shared" ref="H12:H43" si="1">IF(OR(G12="",K12&lt;&gt;"OK"),"",IF(AND(C12=1,D12=1),IF(F12=1,G12*$D$7,G12*VLOOKUP(E12,$C$3:$D$6,2,0)),0))</f>
        <v>0</v>
      </c>
      <c r="I12" s="91">
        <f t="shared" si="0"/>
        <v>0</v>
      </c>
      <c r="K12" s="1" t="str">
        <f t="shared" ref="K12:K43" si="2">IF(ISNA(VLOOKUP(E12,$C$3:$C$6,1,0)),"בדוק איות של הסיווג הידני","OK")</f>
        <v>OK</v>
      </c>
      <c r="L12" t="str">
        <f t="shared" ref="L12:L43" si="3">IF(ISNA(VLOOKUP(E12,$C$3:$C$6,1,0)),"BAD",VLOOKUP(E12,$C$3:$C$6,1,0))</f>
        <v>A</v>
      </c>
      <c r="M12" t="str">
        <f t="shared" ref="M12:M43" si="4">IF(OR(B12="",L12="BAD",K12&lt;&gt;"OK"),"BA",E12)</f>
        <v>A</v>
      </c>
      <c r="N12" s="3">
        <f>IF(ISNA(MATCH(C12,{0,1},0)),"B",C12)</f>
        <v>0</v>
      </c>
      <c r="O12" s="3">
        <f>IF(ISNA(MATCH(D12,{0,1},0)),"B",D12)</f>
        <v>0</v>
      </c>
    </row>
    <row r="13" spans="1:15">
      <c r="A13" s="80">
        <f>סיווג!A16</f>
        <v>3</v>
      </c>
      <c r="B13" s="81" t="str">
        <f>IF(סיווג!B16=0,"",סיווג!B16)</f>
        <v>בית לסין</v>
      </c>
      <c r="C13" s="70"/>
      <c r="D13" s="70"/>
      <c r="E13" s="71" t="s">
        <v>31</v>
      </c>
      <c r="F13" s="301">
        <v>0</v>
      </c>
      <c r="G13" s="88">
        <f>IF(B13="","",סיווג!X16)</f>
        <v>1</v>
      </c>
      <c r="H13" s="90">
        <f t="shared" si="1"/>
        <v>0</v>
      </c>
      <c r="I13" s="91">
        <f t="shared" si="0"/>
        <v>0</v>
      </c>
      <c r="K13" s="1" t="str">
        <f t="shared" si="2"/>
        <v>OK</v>
      </c>
      <c r="L13" t="str">
        <f t="shared" si="3"/>
        <v>A</v>
      </c>
      <c r="M13" t="str">
        <f t="shared" si="4"/>
        <v>A</v>
      </c>
      <c r="N13" s="3">
        <f>IF(ISNA(MATCH(C13,{0,1},0)),"B",C13)</f>
        <v>0</v>
      </c>
      <c r="O13" s="3">
        <f>IF(ISNA(MATCH(D13,{0,1},0)),"B",D13)</f>
        <v>0</v>
      </c>
    </row>
    <row r="14" spans="1:15">
      <c r="A14" s="80">
        <f>סיווג!A17</f>
        <v>4</v>
      </c>
      <c r="B14" s="81" t="str">
        <f>IF(סיווג!B17=0,"",סיווג!B17)</f>
        <v>חיפה</v>
      </c>
      <c r="C14" s="70">
        <v>1</v>
      </c>
      <c r="D14" s="70">
        <v>1</v>
      </c>
      <c r="E14" s="71" t="s">
        <v>33</v>
      </c>
      <c r="F14" s="301">
        <v>1</v>
      </c>
      <c r="G14" s="88">
        <f>IF(B14="","",סיווג!X17)</f>
        <v>0.8</v>
      </c>
      <c r="H14" s="90">
        <f t="shared" si="1"/>
        <v>2.4000000000000004</v>
      </c>
      <c r="I14" s="91">
        <f t="shared" si="0"/>
        <v>0.2105263157894737</v>
      </c>
      <c r="K14" s="1" t="str">
        <f t="shared" si="2"/>
        <v>OK</v>
      </c>
      <c r="L14" t="str">
        <f t="shared" si="3"/>
        <v>C</v>
      </c>
      <c r="M14" t="str">
        <f t="shared" si="4"/>
        <v>C</v>
      </c>
      <c r="N14" s="3">
        <f>IF(ISNA(MATCH(C14,{0,1},0)),"B",C14)</f>
        <v>1</v>
      </c>
      <c r="O14" s="3">
        <f>IF(ISNA(MATCH(D14,{0,1},0)),"B",D14)</f>
        <v>1</v>
      </c>
    </row>
    <row r="15" spans="1:15">
      <c r="A15" s="80">
        <f>סיווג!A18</f>
        <v>5</v>
      </c>
      <c r="B15" s="81" t="str">
        <f>IF(סיווג!B18=0,"",סיווג!B18)</f>
        <v>באר שבע</v>
      </c>
      <c r="C15" s="70">
        <v>1</v>
      </c>
      <c r="D15" s="70">
        <v>1</v>
      </c>
      <c r="E15" s="71" t="s">
        <v>34</v>
      </c>
      <c r="F15" s="301">
        <v>1</v>
      </c>
      <c r="G15" s="88">
        <f>IF(B15="","",סיווג!X18)</f>
        <v>0.8</v>
      </c>
      <c r="H15" s="90">
        <f>IF(OR(G15="",K15&lt;&gt;"OK"),"",IF(AND(C15=1,D15=1),IF(F15=1,G15*$D$7,G15*VLOOKUP(E15,$C$3:$D$6,2,0)),0))</f>
        <v>2.4000000000000004</v>
      </c>
      <c r="I15" s="91">
        <f t="shared" si="0"/>
        <v>0.2105263157894737</v>
      </c>
      <c r="K15" s="1" t="str">
        <f t="shared" si="2"/>
        <v>OK</v>
      </c>
      <c r="L15" t="str">
        <f t="shared" si="3"/>
        <v>D</v>
      </c>
      <c r="M15" t="str">
        <f t="shared" si="4"/>
        <v>D</v>
      </c>
      <c r="N15" s="3">
        <f>IF(ISNA(MATCH(C15,{0,1},0)),"B",C15)</f>
        <v>1</v>
      </c>
      <c r="O15" s="3">
        <f>IF(ISNA(MATCH(D15,{0,1},0)),"B",D15)</f>
        <v>1</v>
      </c>
    </row>
    <row r="16" spans="1:15">
      <c r="A16" s="80">
        <f>סיווג!A19</f>
        <v>6</v>
      </c>
      <c r="B16" s="81" t="str">
        <f>IF(סיווג!B19=0,"",סיווג!B19)</f>
        <v>גשר</v>
      </c>
      <c r="C16" s="70"/>
      <c r="D16" s="70"/>
      <c r="E16" s="71" t="s">
        <v>31</v>
      </c>
      <c r="F16" s="301">
        <v>0</v>
      </c>
      <c r="G16" s="88">
        <f>IF(B16="","",סיווג!X19)</f>
        <v>0.8</v>
      </c>
      <c r="H16" s="90">
        <f t="shared" si="1"/>
        <v>0</v>
      </c>
      <c r="I16" s="91">
        <f t="shared" si="0"/>
        <v>0</v>
      </c>
      <c r="K16" s="1" t="str">
        <f t="shared" si="2"/>
        <v>OK</v>
      </c>
      <c r="L16" t="str">
        <f t="shared" si="3"/>
        <v>A</v>
      </c>
      <c r="M16" t="str">
        <f t="shared" si="4"/>
        <v>A</v>
      </c>
      <c r="N16" s="3">
        <f>IF(ISNA(MATCH(C16,{0,1},0)),"B",C16)</f>
        <v>0</v>
      </c>
      <c r="O16" s="3">
        <f>IF(ISNA(MATCH(D16,{0,1},0)),"B",D16)</f>
        <v>0</v>
      </c>
    </row>
    <row r="17" spans="1:15">
      <c r="A17" s="80">
        <f>סיווג!A20</f>
        <v>7</v>
      </c>
      <c r="B17" s="81" t="str">
        <f>IF(סיווג!B20=0,"",סיווג!B20)</f>
        <v>החאן</v>
      </c>
      <c r="C17" s="70">
        <v>1</v>
      </c>
      <c r="D17" s="70">
        <v>1</v>
      </c>
      <c r="E17" s="71" t="s">
        <v>33</v>
      </c>
      <c r="F17" s="301">
        <v>1</v>
      </c>
      <c r="G17" s="88">
        <f>IF(B17="","",סיווג!X20)</f>
        <v>0.8</v>
      </c>
      <c r="H17" s="90">
        <f t="shared" si="1"/>
        <v>2.4000000000000004</v>
      </c>
      <c r="I17" s="91">
        <f t="shared" si="0"/>
        <v>0.2105263157894737</v>
      </c>
      <c r="K17" s="1" t="str">
        <f t="shared" si="2"/>
        <v>OK</v>
      </c>
      <c r="L17" t="str">
        <f t="shared" si="3"/>
        <v>C</v>
      </c>
      <c r="M17" t="str">
        <f t="shared" si="4"/>
        <v>C</v>
      </c>
      <c r="N17" s="3">
        <f>IF(ISNA(MATCH(C17,{0,1},0)),"B",C17)</f>
        <v>1</v>
      </c>
      <c r="O17" s="3">
        <f>IF(ISNA(MATCH(D17,{0,1},0)),"B",D17)</f>
        <v>1</v>
      </c>
    </row>
    <row r="18" spans="1:15">
      <c r="A18" s="80">
        <f>סיווג!A21</f>
        <v>8</v>
      </c>
      <c r="B18" s="81" t="str">
        <f>IF(סיווג!B21=0,"",סיווג!B21)</f>
        <v>היידישפיל</v>
      </c>
      <c r="C18" s="70"/>
      <c r="D18" s="70"/>
      <c r="E18" s="71" t="s">
        <v>31</v>
      </c>
      <c r="F18" s="301">
        <v>0</v>
      </c>
      <c r="G18" s="88">
        <f>IF(B18="","",סיווג!X21)</f>
        <v>0.8</v>
      </c>
      <c r="H18" s="90">
        <f t="shared" si="1"/>
        <v>0</v>
      </c>
      <c r="I18" s="91">
        <f t="shared" si="0"/>
        <v>0</v>
      </c>
      <c r="K18" s="1" t="str">
        <f t="shared" si="2"/>
        <v>OK</v>
      </c>
      <c r="L18" t="str">
        <f t="shared" si="3"/>
        <v>A</v>
      </c>
      <c r="M18" t="str">
        <f t="shared" si="4"/>
        <v>A</v>
      </c>
      <c r="N18" s="3">
        <f>IF(ISNA(MATCH(C18,{0,1},0)),"B",C18)</f>
        <v>0</v>
      </c>
      <c r="O18" s="3">
        <f>IF(ISNA(MATCH(D18,{0,1},0)),"B",D18)</f>
        <v>0</v>
      </c>
    </row>
    <row r="19" spans="1:15">
      <c r="A19" s="80">
        <f>סיווג!A22</f>
        <v>9</v>
      </c>
      <c r="B19" s="81" t="str">
        <f>IF(סיווג!B22=0,"",סיווג!B22)</f>
        <v>תיאטרון אלמידאן</v>
      </c>
      <c r="C19" s="70">
        <v>1</v>
      </c>
      <c r="D19" s="70">
        <v>1</v>
      </c>
      <c r="E19" s="71" t="s">
        <v>33</v>
      </c>
      <c r="F19" s="301">
        <v>1</v>
      </c>
      <c r="G19" s="88">
        <f>IF(B19="","",סיווג!X22)</f>
        <v>0</v>
      </c>
      <c r="H19" s="90">
        <f t="shared" si="1"/>
        <v>0</v>
      </c>
      <c r="I19" s="91">
        <f t="shared" si="0"/>
        <v>0</v>
      </c>
      <c r="K19" s="1" t="str">
        <f t="shared" si="2"/>
        <v>OK</v>
      </c>
      <c r="L19" t="str">
        <f t="shared" si="3"/>
        <v>C</v>
      </c>
      <c r="M19" t="str">
        <f t="shared" si="4"/>
        <v>C</v>
      </c>
      <c r="N19" s="3">
        <f>IF(ISNA(MATCH(C19,{0,1},0)),"B",C19)</f>
        <v>1</v>
      </c>
      <c r="O19" s="3">
        <f>IF(ISNA(MATCH(D19,{0,1},0)),"B",D19)</f>
        <v>1</v>
      </c>
    </row>
    <row r="20" spans="1:15">
      <c r="A20" s="80">
        <f>סיווג!A23</f>
        <v>10</v>
      </c>
      <c r="B20" s="81" t="str">
        <f>IF(סיווג!B23=0,"",סיווג!B23)</f>
        <v>הזירה הבין תחומית</v>
      </c>
      <c r="C20" s="70">
        <v>1</v>
      </c>
      <c r="D20" s="70">
        <v>1</v>
      </c>
      <c r="E20" s="71" t="s">
        <v>33</v>
      </c>
      <c r="F20" s="301">
        <v>1</v>
      </c>
      <c r="G20" s="88">
        <f>IF(B20="","",סיווג!X23)</f>
        <v>0.25</v>
      </c>
      <c r="H20" s="90">
        <f t="shared" si="1"/>
        <v>0.75</v>
      </c>
      <c r="I20" s="91">
        <f t="shared" si="0"/>
        <v>6.5789473684210523E-2</v>
      </c>
      <c r="K20" s="1" t="str">
        <f t="shared" si="2"/>
        <v>OK</v>
      </c>
      <c r="L20" t="str">
        <f t="shared" si="3"/>
        <v>C</v>
      </c>
      <c r="M20" t="str">
        <f t="shared" si="4"/>
        <v>C</v>
      </c>
      <c r="N20" s="3">
        <f>IF(ISNA(MATCH(C20,{0,1},0)),"B",C20)</f>
        <v>1</v>
      </c>
      <c r="O20" s="3">
        <f>IF(ISNA(MATCH(D20,{0,1},0)),"B",D20)</f>
        <v>1</v>
      </c>
    </row>
    <row r="21" spans="1:15">
      <c r="A21" s="80">
        <f>סיווג!A24</f>
        <v>11</v>
      </c>
      <c r="B21" s="81" t="str">
        <f>IF(סיווג!B24=0,"",סיווג!B24)</f>
        <v>אספקלריא</v>
      </c>
      <c r="C21" s="70">
        <v>1</v>
      </c>
      <c r="D21" s="70">
        <v>1</v>
      </c>
      <c r="E21" s="71" t="s">
        <v>33</v>
      </c>
      <c r="F21" s="301">
        <v>1</v>
      </c>
      <c r="G21" s="88">
        <f>IF(B21="","",סיווג!X24)</f>
        <v>0.25</v>
      </c>
      <c r="H21" s="90">
        <f t="shared" si="1"/>
        <v>0.75</v>
      </c>
      <c r="I21" s="91">
        <f t="shared" si="0"/>
        <v>6.5789473684210523E-2</v>
      </c>
      <c r="K21" s="1" t="str">
        <f t="shared" si="2"/>
        <v>OK</v>
      </c>
      <c r="L21" t="str">
        <f t="shared" si="3"/>
        <v>C</v>
      </c>
      <c r="M21" t="str">
        <f t="shared" si="4"/>
        <v>C</v>
      </c>
      <c r="N21" s="3">
        <f>IF(ISNA(MATCH(C21,{0,1},0)),"B",C21)</f>
        <v>1</v>
      </c>
      <c r="O21" s="3">
        <f>IF(ISNA(MATCH(D21,{0,1},0)),"B",D21)</f>
        <v>1</v>
      </c>
    </row>
    <row r="22" spans="1:15">
      <c r="A22" s="80">
        <f>סיווג!A25</f>
        <v>12</v>
      </c>
      <c r="B22" s="81" t="str">
        <f>IF(סיווג!B25=0,"",סיווג!B25)</f>
        <v/>
      </c>
      <c r="C22" s="70"/>
      <c r="D22" s="70"/>
      <c r="E22" s="71"/>
      <c r="F22" s="301"/>
      <c r="G22" s="88" t="str">
        <f>IF(B22="","",סיווג!X25)</f>
        <v/>
      </c>
      <c r="H22" s="90" t="str">
        <f t="shared" si="1"/>
        <v/>
      </c>
      <c r="I22" s="91" t="str">
        <f t="shared" si="0"/>
        <v/>
      </c>
      <c r="K22" s="1" t="str">
        <f t="shared" si="2"/>
        <v>בדוק איות של הסיווג הידני</v>
      </c>
      <c r="L22" t="str">
        <f t="shared" si="3"/>
        <v>BAD</v>
      </c>
      <c r="M22" t="str">
        <f t="shared" si="4"/>
        <v>BA</v>
      </c>
      <c r="N22" s="3">
        <f>IF(ISNA(MATCH(C22,{0,1},0)),"B",C22)</f>
        <v>0</v>
      </c>
      <c r="O22" s="3">
        <f>IF(ISNA(MATCH(D22,{0,1},0)),"B",D22)</f>
        <v>0</v>
      </c>
    </row>
    <row r="23" spans="1:15">
      <c r="A23" s="80">
        <f>סיווג!A26</f>
        <v>13</v>
      </c>
      <c r="B23" s="81" t="str">
        <f>IF(סיווג!B26=0,"",סיווג!B26)</f>
        <v>עכו</v>
      </c>
      <c r="C23" s="70">
        <v>1</v>
      </c>
      <c r="D23" s="70">
        <v>1</v>
      </c>
      <c r="E23" s="71" t="s">
        <v>34</v>
      </c>
      <c r="F23" s="301">
        <v>1</v>
      </c>
      <c r="G23" s="88">
        <f>IF(B23="","",סיווג!X26)</f>
        <v>0.25</v>
      </c>
      <c r="H23" s="90">
        <f t="shared" si="1"/>
        <v>0.75</v>
      </c>
      <c r="I23" s="91">
        <f t="shared" si="0"/>
        <v>6.5789473684210523E-2</v>
      </c>
      <c r="K23" s="1" t="str">
        <f t="shared" si="2"/>
        <v>OK</v>
      </c>
      <c r="L23" t="str">
        <f t="shared" si="3"/>
        <v>D</v>
      </c>
      <c r="M23" t="str">
        <f t="shared" si="4"/>
        <v>D</v>
      </c>
      <c r="N23" s="3">
        <f>IF(ISNA(MATCH(C23,{0,1},0)),"B",C23)</f>
        <v>1</v>
      </c>
      <c r="O23" s="3">
        <f>IF(ISNA(MATCH(D23,{0,1},0)),"B",D23)</f>
        <v>1</v>
      </c>
    </row>
    <row r="24" spans="1:15">
      <c r="A24" s="80">
        <f>סיווג!A27</f>
        <v>14</v>
      </c>
      <c r="B24" s="81" t="str">
        <f>IF(סיווג!B27=0,"",סיווג!B27)</f>
        <v>הספרייה</v>
      </c>
      <c r="C24" s="70"/>
      <c r="D24" s="70"/>
      <c r="E24" s="71" t="s">
        <v>31</v>
      </c>
      <c r="F24" s="301">
        <v>0</v>
      </c>
      <c r="G24" s="88">
        <f>IF(B24="","",סיווג!X27)</f>
        <v>0.25</v>
      </c>
      <c r="H24" s="90">
        <f t="shared" si="1"/>
        <v>0</v>
      </c>
      <c r="I24" s="91">
        <f t="shared" si="0"/>
        <v>0</v>
      </c>
      <c r="K24" s="1" t="str">
        <f t="shared" si="2"/>
        <v>OK</v>
      </c>
      <c r="L24" t="str">
        <f t="shared" si="3"/>
        <v>A</v>
      </c>
      <c r="M24" t="str">
        <f t="shared" si="4"/>
        <v>A</v>
      </c>
      <c r="N24" s="3">
        <f>IF(ISNA(MATCH(C24,{0,1},0)),"B",C24)</f>
        <v>0</v>
      </c>
      <c r="O24" s="3">
        <f>IF(ISNA(MATCH(D24,{0,1},0)),"B",D24)</f>
        <v>0</v>
      </c>
    </row>
    <row r="25" spans="1:15">
      <c r="A25" s="80">
        <f>סיווג!A28</f>
        <v>15</v>
      </c>
      <c r="B25" s="81" t="str">
        <f>IF(סיווג!B28=0,"",סיווג!B28)</f>
        <v>יפו</v>
      </c>
      <c r="C25" s="70"/>
      <c r="D25" s="70"/>
      <c r="E25" s="71" t="s">
        <v>31</v>
      </c>
      <c r="F25" s="301">
        <v>0</v>
      </c>
      <c r="G25" s="88">
        <f>IF(B25="","",סיווג!X28)</f>
        <v>0.25</v>
      </c>
      <c r="H25" s="90">
        <f t="shared" si="1"/>
        <v>0</v>
      </c>
      <c r="I25" s="91">
        <f t="shared" si="0"/>
        <v>0</v>
      </c>
      <c r="K25" s="1" t="str">
        <f t="shared" si="2"/>
        <v>OK</v>
      </c>
      <c r="L25" t="str">
        <f t="shared" si="3"/>
        <v>A</v>
      </c>
      <c r="M25" t="str">
        <f t="shared" si="4"/>
        <v>A</v>
      </c>
      <c r="N25" s="3">
        <f>IF(ISNA(MATCH(C25,{0,1},0)),"B",C25)</f>
        <v>0</v>
      </c>
      <c r="O25" s="3">
        <f>IF(ISNA(MATCH(D25,{0,1},0)),"B",D25)</f>
        <v>0</v>
      </c>
    </row>
    <row r="26" spans="1:15">
      <c r="A26" s="80">
        <f>סיווג!A29</f>
        <v>16</v>
      </c>
      <c r="B26" s="81" t="str">
        <f>IF(סיווג!B29=0,"",סיווג!B29)</f>
        <v/>
      </c>
      <c r="C26" s="70"/>
      <c r="D26" s="70"/>
      <c r="E26" s="71"/>
      <c r="F26" s="301"/>
      <c r="G26" s="88" t="str">
        <f>IF(B26="","",סיווג!X29)</f>
        <v/>
      </c>
      <c r="H26" s="90" t="str">
        <f t="shared" si="1"/>
        <v/>
      </c>
      <c r="I26" s="91" t="str">
        <f t="shared" si="0"/>
        <v/>
      </c>
      <c r="K26" s="1" t="str">
        <f t="shared" si="2"/>
        <v>בדוק איות של הסיווג הידני</v>
      </c>
      <c r="L26" t="str">
        <f t="shared" si="3"/>
        <v>BAD</v>
      </c>
      <c r="M26" t="str">
        <f t="shared" si="4"/>
        <v>BA</v>
      </c>
      <c r="N26" s="3">
        <f>IF(ISNA(MATCH(C26,{0,1},0)),"B",C26)</f>
        <v>0</v>
      </c>
      <c r="O26" s="3">
        <f>IF(ISNA(MATCH(D26,{0,1},0)),"B",D26)</f>
        <v>0</v>
      </c>
    </row>
    <row r="27" spans="1:15">
      <c r="A27" s="80">
        <f>סיווג!A30</f>
        <v>17</v>
      </c>
      <c r="B27" s="81" t="str">
        <f>IF(סיווג!B30=0,"",סיווג!B30)</f>
        <v>אינקובטור</v>
      </c>
      <c r="C27" s="70">
        <v>1</v>
      </c>
      <c r="D27" s="70">
        <v>1</v>
      </c>
      <c r="E27" s="71" t="s">
        <v>33</v>
      </c>
      <c r="F27" s="301">
        <v>1</v>
      </c>
      <c r="G27" s="88">
        <f>IF(B27="","",סיווג!X30)</f>
        <v>0.25</v>
      </c>
      <c r="H27" s="90">
        <f t="shared" si="1"/>
        <v>0.75</v>
      </c>
      <c r="I27" s="91">
        <f t="shared" si="0"/>
        <v>6.5789473684210523E-2</v>
      </c>
      <c r="K27" s="1" t="str">
        <f t="shared" si="2"/>
        <v>OK</v>
      </c>
      <c r="L27" t="str">
        <f t="shared" si="3"/>
        <v>C</v>
      </c>
      <c r="M27" t="str">
        <f t="shared" si="4"/>
        <v>C</v>
      </c>
      <c r="N27" s="3">
        <f>IF(ISNA(MATCH(C27,{0,1},0)),"B",C27)</f>
        <v>1</v>
      </c>
      <c r="O27" s="3">
        <f>IF(ISNA(MATCH(D27,{0,1},0)),"B",D27)</f>
        <v>1</v>
      </c>
    </row>
    <row r="28" spans="1:15">
      <c r="A28" s="80">
        <f>סיווג!A31</f>
        <v>18</v>
      </c>
      <c r="B28" s="81" t="str">
        <f>IF(סיווג!B31=0,"",סיווג!B31)</f>
        <v>אורנה פורת</v>
      </c>
      <c r="C28" s="70"/>
      <c r="D28" s="70"/>
      <c r="E28" s="71" t="s">
        <v>31</v>
      </c>
      <c r="F28" s="301">
        <v>0</v>
      </c>
      <c r="G28" s="88">
        <f>IF(B28="","",סיווג!X31)</f>
        <v>0.6</v>
      </c>
      <c r="H28" s="90">
        <f t="shared" si="1"/>
        <v>0</v>
      </c>
      <c r="I28" s="91">
        <f t="shared" si="0"/>
        <v>0</v>
      </c>
      <c r="K28" s="1" t="str">
        <f t="shared" si="2"/>
        <v>OK</v>
      </c>
      <c r="L28" t="str">
        <f t="shared" si="3"/>
        <v>A</v>
      </c>
      <c r="M28" t="str">
        <f t="shared" si="4"/>
        <v>A</v>
      </c>
      <c r="N28" s="3">
        <f>IF(ISNA(MATCH(C28,{0,1},0)),"B",C28)</f>
        <v>0</v>
      </c>
      <c r="O28" s="3">
        <f>IF(ISNA(MATCH(D28,{0,1},0)),"B",D28)</f>
        <v>0</v>
      </c>
    </row>
    <row r="29" spans="1:15">
      <c r="A29" s="80">
        <f>סיווג!A32</f>
        <v>19</v>
      </c>
      <c r="B29" s="81" t="str">
        <f>IF(סיווג!B32=0,"",סיווג!B32)</f>
        <v>ארצי לנוער</v>
      </c>
      <c r="C29" s="70"/>
      <c r="D29" s="70"/>
      <c r="E29" s="71" t="s">
        <v>31</v>
      </c>
      <c r="F29" s="301">
        <v>0</v>
      </c>
      <c r="G29" s="88">
        <f>IF(B29="","",סיווג!X32)</f>
        <v>0.6</v>
      </c>
      <c r="H29" s="90">
        <f t="shared" si="1"/>
        <v>0</v>
      </c>
      <c r="I29" s="91">
        <f t="shared" si="0"/>
        <v>0</v>
      </c>
      <c r="K29" s="1" t="str">
        <f t="shared" si="2"/>
        <v>OK</v>
      </c>
      <c r="L29" t="str">
        <f t="shared" si="3"/>
        <v>A</v>
      </c>
      <c r="M29" t="str">
        <f t="shared" si="4"/>
        <v>A</v>
      </c>
      <c r="N29" s="3">
        <f>IF(ISNA(MATCH(C29,{0,1},0)),"B",C29)</f>
        <v>0</v>
      </c>
      <c r="O29" s="3">
        <f>IF(ISNA(MATCH(D29,{0,1},0)),"B",D29)</f>
        <v>0</v>
      </c>
    </row>
    <row r="30" spans="1:15">
      <c r="A30" s="80">
        <f>סיווג!A33</f>
        <v>20</v>
      </c>
      <c r="B30" s="81" t="str">
        <f>IF(סיווג!B33=0,"",סיווג!B33)</f>
        <v>הקיבוץ</v>
      </c>
      <c r="C30" s="70"/>
      <c r="D30" s="70"/>
      <c r="E30" s="71" t="s">
        <v>31</v>
      </c>
      <c r="F30" s="301">
        <v>0</v>
      </c>
      <c r="G30" s="88">
        <f>IF(B30="","",סיווג!X33)</f>
        <v>0.2</v>
      </c>
      <c r="H30" s="90">
        <f t="shared" si="1"/>
        <v>0</v>
      </c>
      <c r="I30" s="91">
        <f t="shared" si="0"/>
        <v>0</v>
      </c>
      <c r="K30" s="1" t="str">
        <f t="shared" si="2"/>
        <v>OK</v>
      </c>
      <c r="L30" t="str">
        <f t="shared" si="3"/>
        <v>A</v>
      </c>
      <c r="M30" t="str">
        <f t="shared" si="4"/>
        <v>A</v>
      </c>
      <c r="N30" s="3">
        <f>IF(ISNA(MATCH(C30,{0,1},0)),"B",C30)</f>
        <v>0</v>
      </c>
      <c r="O30" s="3">
        <f>IF(ISNA(MATCH(D30,{0,1},0)),"B",D30)</f>
        <v>0</v>
      </c>
    </row>
    <row r="31" spans="1:15">
      <c r="A31" s="80">
        <f>סיווג!A34</f>
        <v>21</v>
      </c>
      <c r="B31" s="81" t="str">
        <f>IF(סיווג!B34=0,"",סיווג!B34)</f>
        <v>הקרון</v>
      </c>
      <c r="C31" s="70">
        <v>1</v>
      </c>
      <c r="D31" s="70">
        <v>1</v>
      </c>
      <c r="E31" s="71" t="s">
        <v>33</v>
      </c>
      <c r="F31" s="301">
        <v>1</v>
      </c>
      <c r="G31" s="88">
        <f>IF(B31="","",סיווג!X34)</f>
        <v>0.2</v>
      </c>
      <c r="H31" s="90">
        <f t="shared" si="1"/>
        <v>0.60000000000000009</v>
      </c>
      <c r="I31" s="91">
        <f t="shared" si="0"/>
        <v>5.2631578947368425E-2</v>
      </c>
      <c r="K31" s="1" t="str">
        <f t="shared" si="2"/>
        <v>OK</v>
      </c>
      <c r="L31" t="str">
        <f t="shared" si="3"/>
        <v>C</v>
      </c>
      <c r="M31" t="str">
        <f t="shared" si="4"/>
        <v>C</v>
      </c>
      <c r="N31" s="3">
        <f>IF(ISNA(MATCH(C31,{0,1},0)),"B",C31)</f>
        <v>1</v>
      </c>
      <c r="O31" s="3">
        <f>IF(ISNA(MATCH(D31,{0,1},0)),"B",D31)</f>
        <v>1</v>
      </c>
    </row>
    <row r="32" spans="1:15">
      <c r="A32" s="80">
        <f>סיווג!A35</f>
        <v>22</v>
      </c>
      <c r="B32" s="81" t="str">
        <f>IF(סיווג!B35=0,"",סיווג!B35)</f>
        <v>בית הגפן</v>
      </c>
      <c r="C32" s="70">
        <v>1</v>
      </c>
      <c r="D32" s="70">
        <v>1</v>
      </c>
      <c r="E32" s="71" t="s">
        <v>33</v>
      </c>
      <c r="F32" s="301">
        <v>1</v>
      </c>
      <c r="G32" s="88">
        <f>IF(B32="","",סיווג!X35)</f>
        <v>0.2</v>
      </c>
      <c r="H32" s="90">
        <f t="shared" si="1"/>
        <v>0.60000000000000009</v>
      </c>
      <c r="I32" s="91">
        <f t="shared" si="0"/>
        <v>5.2631578947368425E-2</v>
      </c>
      <c r="K32" s="1" t="str">
        <f t="shared" si="2"/>
        <v>OK</v>
      </c>
      <c r="L32" t="str">
        <f t="shared" si="3"/>
        <v>C</v>
      </c>
      <c r="M32" t="str">
        <f t="shared" si="4"/>
        <v>C</v>
      </c>
      <c r="N32" s="3">
        <f>IF(ISNA(MATCH(C32,{0,1},0)),"B",C32)</f>
        <v>1</v>
      </c>
      <c r="O32" s="3">
        <f>IF(ISNA(MATCH(D32,{0,1},0)),"B",D32)</f>
        <v>1</v>
      </c>
    </row>
    <row r="33" spans="1:15">
      <c r="A33" s="80">
        <f>סיווג!A36</f>
        <v>23</v>
      </c>
      <c r="B33" s="81" t="str">
        <f>IF(סיווג!B36=0,"",סיווג!B36)</f>
        <v>הנפש</v>
      </c>
      <c r="C33" s="70"/>
      <c r="D33" s="70"/>
      <c r="E33" s="71" t="s">
        <v>31</v>
      </c>
      <c r="F33" s="301">
        <v>0</v>
      </c>
      <c r="G33" s="88">
        <f>IF(B33="","",סיווג!X36)</f>
        <v>0.2</v>
      </c>
      <c r="H33" s="90">
        <f t="shared" si="1"/>
        <v>0</v>
      </c>
      <c r="I33" s="91">
        <f t="shared" si="0"/>
        <v>0</v>
      </c>
      <c r="K33" s="1" t="str">
        <f t="shared" si="2"/>
        <v>OK</v>
      </c>
      <c r="L33" t="str">
        <f t="shared" si="3"/>
        <v>A</v>
      </c>
      <c r="M33" t="str">
        <f t="shared" si="4"/>
        <v>A</v>
      </c>
      <c r="N33" s="3">
        <f>IF(ISNA(MATCH(C33,{0,1},0)),"B",C33)</f>
        <v>0</v>
      </c>
      <c r="O33" s="3">
        <f>IF(ISNA(MATCH(D33,{0,1},0)),"B",D33)</f>
        <v>0</v>
      </c>
    </row>
    <row r="34" spans="1:15">
      <c r="A34" s="80">
        <f>סיווג!A37</f>
        <v>24</v>
      </c>
      <c r="B34" s="81" t="str">
        <f>IF(סיווג!B37=0,"",סיווג!B37)</f>
        <v>השעה</v>
      </c>
      <c r="C34" s="70"/>
      <c r="D34" s="70"/>
      <c r="E34" s="71" t="s">
        <v>31</v>
      </c>
      <c r="F34" s="301">
        <v>0</v>
      </c>
      <c r="G34" s="88">
        <f>IF(B34="","",סיווג!X37)</f>
        <v>0.6</v>
      </c>
      <c r="H34" s="90">
        <f t="shared" si="1"/>
        <v>0</v>
      </c>
      <c r="I34" s="91">
        <f t="shared" si="0"/>
        <v>0</v>
      </c>
      <c r="K34" s="1" t="str">
        <f t="shared" si="2"/>
        <v>OK</v>
      </c>
      <c r="L34" t="str">
        <f t="shared" si="3"/>
        <v>A</v>
      </c>
      <c r="M34" t="str">
        <f t="shared" si="4"/>
        <v>A</v>
      </c>
      <c r="N34" s="3">
        <f>IF(ISNA(MATCH(C34,{0,1},0)),"B",C34)</f>
        <v>0</v>
      </c>
      <c r="O34" s="3">
        <f>IF(ISNA(MATCH(D34,{0,1},0)),"B",D34)</f>
        <v>0</v>
      </c>
    </row>
    <row r="35" spans="1:15">
      <c r="A35" s="80">
        <f>סיווג!A38</f>
        <v>25</v>
      </c>
      <c r="B35" s="81" t="str">
        <f>IF(סיווג!B38=0,"",סיווג!B38)</f>
        <v>עדי</v>
      </c>
      <c r="C35" s="70"/>
      <c r="D35" s="70"/>
      <c r="E35" s="71" t="s">
        <v>31</v>
      </c>
      <c r="F35" s="301">
        <v>0</v>
      </c>
      <c r="G35" s="88">
        <f>IF(B35="","",סיווג!X38)</f>
        <v>0.2</v>
      </c>
      <c r="H35" s="90">
        <f t="shared" si="1"/>
        <v>0</v>
      </c>
      <c r="I35" s="91">
        <f t="shared" si="0"/>
        <v>0</v>
      </c>
      <c r="K35" s="1" t="str">
        <f t="shared" si="2"/>
        <v>OK</v>
      </c>
      <c r="L35" t="str">
        <f t="shared" si="3"/>
        <v>A</v>
      </c>
      <c r="M35" t="str">
        <f t="shared" si="4"/>
        <v>A</v>
      </c>
      <c r="N35" s="3">
        <f>IF(ISNA(MATCH(C35,{0,1},0)),"B",C35)</f>
        <v>0</v>
      </c>
      <c r="O35" s="3">
        <f>IF(ISNA(MATCH(D35,{0,1},0)),"B",D35)</f>
        <v>0</v>
      </c>
    </row>
    <row r="36" spans="1:15">
      <c r="A36" s="80">
        <f>סיווג!A39</f>
        <v>26</v>
      </c>
      <c r="B36" s="81" t="str">
        <f>IF(סיווג!B39=0,"",סיווג!B39)</f>
        <v>מדייטק</v>
      </c>
      <c r="C36" s="70"/>
      <c r="D36" s="70"/>
      <c r="E36" s="71" t="s">
        <v>31</v>
      </c>
      <c r="F36" s="301">
        <v>0</v>
      </c>
      <c r="G36" s="88">
        <f>IF(B36="","",סיווג!X39)</f>
        <v>0.4</v>
      </c>
      <c r="H36" s="90">
        <f t="shared" si="1"/>
        <v>0</v>
      </c>
      <c r="I36" s="91">
        <f t="shared" si="0"/>
        <v>0</v>
      </c>
      <c r="K36" s="1" t="str">
        <f t="shared" si="2"/>
        <v>OK</v>
      </c>
      <c r="L36" t="str">
        <f t="shared" si="3"/>
        <v>A</v>
      </c>
      <c r="M36" t="str">
        <f t="shared" si="4"/>
        <v>A</v>
      </c>
      <c r="N36" s="3">
        <f>IF(ISNA(MATCH(C36,{0,1},0)),"B",C36)</f>
        <v>0</v>
      </c>
      <c r="O36" s="3">
        <f>IF(ISNA(MATCH(D36,{0,1},0)),"B",D36)</f>
        <v>0</v>
      </c>
    </row>
    <row r="37" spans="1:15">
      <c r="A37" s="80">
        <f>סיווג!A40</f>
        <v>27</v>
      </c>
      <c r="B37" s="81" t="str">
        <f>IF(סיווג!B40=0,"",סיווג!B40)</f>
        <v>חני</v>
      </c>
      <c r="C37" s="70"/>
      <c r="D37" s="70"/>
      <c r="E37" s="71" t="s">
        <v>31</v>
      </c>
      <c r="F37" s="301">
        <v>0</v>
      </c>
      <c r="G37" s="88">
        <f>IF(B37="","",סיווג!X40)</f>
        <v>0.2</v>
      </c>
      <c r="H37" s="90">
        <f t="shared" si="1"/>
        <v>0</v>
      </c>
      <c r="I37" s="91">
        <f t="shared" si="0"/>
        <v>0</v>
      </c>
      <c r="K37" s="1" t="str">
        <f t="shared" si="2"/>
        <v>OK</v>
      </c>
      <c r="L37" t="str">
        <f t="shared" si="3"/>
        <v>A</v>
      </c>
      <c r="M37" t="str">
        <f t="shared" si="4"/>
        <v>A</v>
      </c>
      <c r="N37" s="3">
        <f>IF(ISNA(MATCH(C37,{0,1},0)),"B",C37)</f>
        <v>0</v>
      </c>
      <c r="O37" s="3">
        <f>IF(ISNA(MATCH(D37,{0,1},0)),"B",D37)</f>
        <v>0</v>
      </c>
    </row>
    <row r="38" spans="1:15">
      <c r="A38" s="80">
        <f>סיווג!A41</f>
        <v>28</v>
      </c>
      <c r="B38" s="81" t="str">
        <f>IF(סיווג!B41=0,"",סיווג!B41)</f>
        <v xml:space="preserve">גשן </v>
      </c>
      <c r="C38" s="70"/>
      <c r="D38" s="70"/>
      <c r="E38" s="71" t="s">
        <v>31</v>
      </c>
      <c r="F38" s="301">
        <v>0</v>
      </c>
      <c r="G38" s="88">
        <f>IF(B38="","",סיווג!X41)</f>
        <v>0.2</v>
      </c>
      <c r="H38" s="90">
        <f t="shared" si="1"/>
        <v>0</v>
      </c>
      <c r="I38" s="91">
        <f t="shared" si="0"/>
        <v>0</v>
      </c>
      <c r="K38" s="1" t="str">
        <f t="shared" si="2"/>
        <v>OK</v>
      </c>
      <c r="L38" t="str">
        <f t="shared" si="3"/>
        <v>A</v>
      </c>
      <c r="M38" t="str">
        <f t="shared" si="4"/>
        <v>A</v>
      </c>
      <c r="N38" s="3">
        <f>IF(ISNA(MATCH(C38,{0,1},0)),"B",C38)</f>
        <v>0</v>
      </c>
      <c r="O38" s="3">
        <f>IF(ISNA(MATCH(D38,{0,1},0)),"B",D38)</f>
        <v>0</v>
      </c>
    </row>
    <row r="39" spans="1:15">
      <c r="A39" s="80">
        <f>סיווג!A42</f>
        <v>29</v>
      </c>
      <c r="B39" s="81" t="str">
        <f>IF(סיווג!B42=0,"",סיווג!B42)</f>
        <v>תיאטרון העברי</v>
      </c>
      <c r="C39" s="70">
        <v>0</v>
      </c>
      <c r="D39" s="70">
        <v>0</v>
      </c>
      <c r="E39" s="71" t="s">
        <v>32</v>
      </c>
      <c r="F39" s="301">
        <v>0</v>
      </c>
      <c r="G39" s="88">
        <f>IF(B39="","",סיווג!X42)</f>
        <v>0.25</v>
      </c>
      <c r="H39" s="90">
        <f t="shared" si="1"/>
        <v>0</v>
      </c>
      <c r="I39" s="91">
        <f t="shared" si="0"/>
        <v>0</v>
      </c>
      <c r="K39" s="1" t="str">
        <f t="shared" si="2"/>
        <v>OK</v>
      </c>
      <c r="L39" t="str">
        <f t="shared" si="3"/>
        <v>B</v>
      </c>
      <c r="M39" t="str">
        <f t="shared" si="4"/>
        <v>B</v>
      </c>
      <c r="N39" s="3">
        <f>IF(ISNA(MATCH(C39,{0,1},0)),"B",C39)</f>
        <v>0</v>
      </c>
      <c r="O39" s="3">
        <f>IF(ISNA(MATCH(D39,{0,1},0)),"B",D39)</f>
        <v>0</v>
      </c>
    </row>
    <row r="40" spans="1:15">
      <c r="A40" s="80">
        <f>סיווג!A43</f>
        <v>30</v>
      </c>
      <c r="B40" s="81" t="str">
        <f>IF(סיווג!B43=0,"",סיווג!B43)</f>
        <v>גליון ריק 2</v>
      </c>
      <c r="C40" s="70"/>
      <c r="D40" s="70"/>
      <c r="E40" s="71"/>
      <c r="F40" s="301"/>
      <c r="G40" s="88">
        <f>IF(B40="","",סיווג!X43)</f>
        <v>0</v>
      </c>
      <c r="H40" s="90" t="str">
        <f t="shared" si="1"/>
        <v/>
      </c>
      <c r="I40" s="91" t="str">
        <f t="shared" si="0"/>
        <v/>
      </c>
      <c r="K40" s="1" t="str">
        <f t="shared" si="2"/>
        <v>בדוק איות של הסיווג הידני</v>
      </c>
      <c r="L40" t="str">
        <f t="shared" si="3"/>
        <v>BAD</v>
      </c>
      <c r="M40" t="str">
        <f t="shared" si="4"/>
        <v>BA</v>
      </c>
      <c r="N40" s="3">
        <f>IF(ISNA(MATCH(C40,{0,1},0)),"B",C40)</f>
        <v>0</v>
      </c>
      <c r="O40" s="3">
        <f>IF(ISNA(MATCH(D40,{0,1},0)),"B",D40)</f>
        <v>0</v>
      </c>
    </row>
    <row r="41" spans="1:15">
      <c r="A41" s="80">
        <f>סיווג!A44</f>
        <v>31</v>
      </c>
      <c r="B41" s="81" t="str">
        <f>IF(סיווג!B44=0,"",סיווג!B44)</f>
        <v>גליון ריק 3</v>
      </c>
      <c r="C41" s="70"/>
      <c r="D41" s="70"/>
      <c r="E41" s="71"/>
      <c r="F41" s="301"/>
      <c r="G41" s="88">
        <f>IF(B41="","",סיווג!X44)</f>
        <v>0</v>
      </c>
      <c r="H41" s="90" t="str">
        <f t="shared" si="1"/>
        <v/>
      </c>
      <c r="I41" s="91" t="str">
        <f t="shared" si="0"/>
        <v/>
      </c>
      <c r="K41" s="1" t="str">
        <f t="shared" si="2"/>
        <v>בדוק איות של הסיווג הידני</v>
      </c>
      <c r="L41" t="str">
        <f t="shared" si="3"/>
        <v>BAD</v>
      </c>
      <c r="M41" t="str">
        <f t="shared" si="4"/>
        <v>BA</v>
      </c>
      <c r="N41" s="3">
        <f>IF(ISNA(MATCH(C41,{0,1},0)),"B",C41)</f>
        <v>0</v>
      </c>
      <c r="O41" s="3">
        <f>IF(ISNA(MATCH(D41,{0,1},0)),"B",D41)</f>
        <v>0</v>
      </c>
    </row>
    <row r="42" spans="1:15">
      <c r="A42" s="80">
        <f>סיווג!A45</f>
        <v>32</v>
      </c>
      <c r="B42" s="81" t="str">
        <f>IF(סיווג!B45=0,"",סיווג!B45)</f>
        <v/>
      </c>
      <c r="C42" s="70"/>
      <c r="D42" s="70"/>
      <c r="E42" s="71"/>
      <c r="F42" s="301"/>
      <c r="G42" s="88" t="str">
        <f>IF(B42="","",סיווג!X45)</f>
        <v/>
      </c>
      <c r="H42" s="90" t="str">
        <f t="shared" si="1"/>
        <v/>
      </c>
      <c r="I42" s="91" t="str">
        <f t="shared" si="0"/>
        <v/>
      </c>
      <c r="K42" s="1" t="str">
        <f t="shared" si="2"/>
        <v>בדוק איות של הסיווג הידני</v>
      </c>
      <c r="L42" t="str">
        <f t="shared" si="3"/>
        <v>BAD</v>
      </c>
      <c r="M42" t="str">
        <f t="shared" si="4"/>
        <v>BA</v>
      </c>
      <c r="N42" s="3">
        <f>IF(ISNA(MATCH(C42,{0,1},0)),"B",C42)</f>
        <v>0</v>
      </c>
      <c r="O42" s="3">
        <f>IF(ISNA(MATCH(D42,{0,1},0)),"B",D42)</f>
        <v>0</v>
      </c>
    </row>
    <row r="43" spans="1:15" ht="13.5" thickBot="1">
      <c r="A43" s="82">
        <f>סיווג!A46</f>
        <v>33</v>
      </c>
      <c r="B43" s="83" t="str">
        <f>IF(סיווג!B46=0,"",סיווג!B46)</f>
        <v/>
      </c>
      <c r="C43" s="70"/>
      <c r="D43" s="70"/>
      <c r="E43" s="71"/>
      <c r="F43" s="301"/>
      <c r="G43" s="89" t="str">
        <f>IF(B43="","",סיווג!X46)</f>
        <v/>
      </c>
      <c r="H43" s="90" t="str">
        <f t="shared" si="1"/>
        <v/>
      </c>
      <c r="I43" s="91" t="str">
        <f t="shared" si="0"/>
        <v/>
      </c>
      <c r="K43" s="1" t="str">
        <f t="shared" si="2"/>
        <v>בדוק איות של הסיווג הידני</v>
      </c>
      <c r="L43" t="str">
        <f t="shared" si="3"/>
        <v>BAD</v>
      </c>
      <c r="M43" t="str">
        <f t="shared" si="4"/>
        <v>BA</v>
      </c>
      <c r="N43" s="3">
        <f>IF(ISNA(MATCH(C43,{0,1},0)),"B",C43)</f>
        <v>0</v>
      </c>
      <c r="O43" s="3">
        <f>IF(ISNA(MATCH(D43,{0,1},0)),"B",D43)</f>
        <v>0</v>
      </c>
    </row>
    <row r="44" spans="1:15" ht="14.25" thickTop="1" thickBot="1">
      <c r="A44" s="618" t="s">
        <v>26</v>
      </c>
      <c r="B44" s="635"/>
      <c r="C44" s="635"/>
      <c r="D44" s="635"/>
      <c r="E44" s="635"/>
      <c r="F44" s="635"/>
      <c r="G44" s="619"/>
      <c r="H44" s="6">
        <f>SUM(H11:H43)</f>
        <v>11.4</v>
      </c>
      <c r="I44" s="7">
        <f>SUM(I11:I43)</f>
        <v>1</v>
      </c>
    </row>
    <row r="45" spans="1:15" ht="13.5" thickTop="1"/>
  </sheetData>
  <sheetProtection password="CC01" sheet="1" objects="1" scenarios="1" formatColumns="0" formatRows="0"/>
  <mergeCells count="5">
    <mergeCell ref="A9:I9"/>
    <mergeCell ref="B1:D1"/>
    <mergeCell ref="A44:G44"/>
    <mergeCell ref="G1:H1"/>
    <mergeCell ref="G2:H2"/>
  </mergeCells>
  <phoneticPr fontId="5" type="noConversion"/>
  <conditionalFormatting sqref="C41:D43">
    <cfRule type="cellIs" dxfId="107" priority="2" stopIfTrue="1" operator="notEqual">
      <formula>N41</formula>
    </cfRule>
  </conditionalFormatting>
  <conditionalFormatting sqref="C11:D40">
    <cfRule type="cellIs" dxfId="106" priority="1" stopIfTrue="1" operator="notEqual">
      <formula>N11</formula>
    </cfRule>
  </conditionalFormatting>
  <dataValidations count="3">
    <dataValidation type="list" errorStyle="warning" allowBlank="1" showInputMessage="1" showErrorMessage="1" errorTitle="טעות בהזנה" error="יש להזין סימול מיקום מתאים {A, B, C, D}" sqref="E11:E43">
      <formula1>$C$3:$C$6</formula1>
    </dataValidation>
    <dataValidation type="list" errorStyle="warning" allowBlank="1" showInputMessage="1" showErrorMessage="1" errorTitle="טעות בהזנה" error="יש להזין 1 עבור עמידה בדרישה או 0 עבור אי עמידה בדרישה" sqref="C11:D43">
      <formula1>"0,1"</formula1>
    </dataValidation>
    <dataValidation type="list" errorStyle="warning" allowBlank="1" showInputMessage="1" showErrorMessage="1" errorTitle="טעות בהזנה" error="יש להזין סימול מיקום מתאים {A, B, C, D}" sqref="F11:F43">
      <formula1>"0,1"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scale="72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6"/>
  </sheetPr>
  <dimension ref="A1:BA40"/>
  <sheetViews>
    <sheetView rightToLeft="1" view="pageBreakPreview" zoomScale="80" zoomScaleNormal="100" zoomScaleSheetLayoutView="80" workbookViewId="0">
      <pane xSplit="2" ySplit="5" topLeftCell="C6" activePane="bottomRight" state="frozen"/>
      <selection activeCell="B22" sqref="B22"/>
      <selection pane="topRight" activeCell="B22" sqref="B22"/>
      <selection pane="bottomLeft" activeCell="B22" sqref="B22"/>
      <selection pane="bottomRight" activeCell="E38" sqref="E38"/>
    </sheetView>
  </sheetViews>
  <sheetFormatPr defaultRowHeight="12.75" outlineLevelRow="1"/>
  <cols>
    <col min="1" max="1" width="8.5703125" style="302" customWidth="1"/>
    <col min="2" max="2" width="27.7109375" style="302" customWidth="1"/>
    <col min="3" max="3" width="36.28515625" style="302" bestFit="1" customWidth="1"/>
    <col min="4" max="5" width="22.42578125" style="302" bestFit="1" customWidth="1"/>
    <col min="6" max="6" width="7" style="302" customWidth="1"/>
    <col min="7" max="7" width="15.5703125" style="302" bestFit="1" customWidth="1"/>
    <col min="8" max="9" width="7" style="302" customWidth="1"/>
    <col min="10" max="10" width="7.85546875" style="302" customWidth="1"/>
    <col min="11" max="21" width="7" style="302" customWidth="1"/>
    <col min="22" max="22" width="30.85546875" style="302" bestFit="1" customWidth="1"/>
    <col min="23" max="23" width="34" style="302" hidden="1" customWidth="1"/>
    <col min="24" max="24" width="14" style="302" customWidth="1"/>
    <col min="25" max="25" width="17" style="302" bestFit="1" customWidth="1"/>
    <col min="26" max="26" width="17.5703125" style="302" customWidth="1"/>
    <col min="27" max="35" width="2.42578125" style="302" hidden="1" customWidth="1"/>
    <col min="36" max="36" width="4.85546875" style="302" hidden="1" customWidth="1"/>
    <col min="37" max="37" width="2.5703125" style="302" customWidth="1"/>
    <col min="38" max="38" width="47.140625" style="302" customWidth="1"/>
    <col min="39" max="39" width="9.140625" style="302" customWidth="1"/>
    <col min="40" max="40" width="7.5703125" style="302" customWidth="1"/>
    <col min="41" max="42" width="10.28515625" style="302" hidden="1" customWidth="1"/>
    <col min="43" max="45" width="9.140625" style="302" hidden="1" customWidth="1"/>
    <col min="46" max="48" width="11.140625" style="302" hidden="1" customWidth="1"/>
    <col min="49" max="49" width="29.85546875" style="302" hidden="1" customWidth="1"/>
    <col min="50" max="50" width="11.28515625" style="302" hidden="1" customWidth="1"/>
    <col min="51" max="53" width="9.140625" style="302" hidden="1" customWidth="1"/>
    <col min="54" max="200" width="9.140625" style="302" customWidth="1"/>
    <col min="201" max="266" width="9.140625" style="302"/>
    <col min="267" max="267" width="8.5703125" style="302" customWidth="1"/>
    <col min="268" max="268" width="21.140625" style="302" customWidth="1"/>
    <col min="269" max="272" width="7" style="302" customWidth="1"/>
    <col min="273" max="273" width="7.85546875" style="302" customWidth="1"/>
    <col min="274" max="276" width="7" style="302" customWidth="1"/>
    <col min="277" max="277" width="13.28515625" style="302" customWidth="1"/>
    <col min="278" max="278" width="14" style="302" customWidth="1"/>
    <col min="279" max="279" width="17.5703125" style="302" customWidth="1"/>
    <col min="280" max="289" width="0" style="302" hidden="1" customWidth="1"/>
    <col min="290" max="290" width="2.5703125" style="302" customWidth="1"/>
    <col min="291" max="291" width="42.140625" style="302" bestFit="1" customWidth="1"/>
    <col min="292" max="293" width="9.140625" style="302"/>
    <col min="294" max="294" width="0" style="302" hidden="1" customWidth="1"/>
    <col min="295" max="522" width="9.140625" style="302"/>
    <col min="523" max="523" width="8.5703125" style="302" customWidth="1"/>
    <col min="524" max="524" width="21.140625" style="302" customWidth="1"/>
    <col min="525" max="528" width="7" style="302" customWidth="1"/>
    <col min="529" max="529" width="7.85546875" style="302" customWidth="1"/>
    <col min="530" max="532" width="7" style="302" customWidth="1"/>
    <col min="533" max="533" width="13.28515625" style="302" customWidth="1"/>
    <col min="534" max="534" width="14" style="302" customWidth="1"/>
    <col min="535" max="535" width="17.5703125" style="302" customWidth="1"/>
    <col min="536" max="545" width="0" style="302" hidden="1" customWidth="1"/>
    <col min="546" max="546" width="2.5703125" style="302" customWidth="1"/>
    <col min="547" max="547" width="42.140625" style="302" bestFit="1" customWidth="1"/>
    <col min="548" max="549" width="9.140625" style="302"/>
    <col min="550" max="550" width="0" style="302" hidden="1" customWidth="1"/>
    <col min="551" max="778" width="9.140625" style="302"/>
    <col min="779" max="779" width="8.5703125" style="302" customWidth="1"/>
    <col min="780" max="780" width="21.140625" style="302" customWidth="1"/>
    <col min="781" max="784" width="7" style="302" customWidth="1"/>
    <col min="785" max="785" width="7.85546875" style="302" customWidth="1"/>
    <col min="786" max="788" width="7" style="302" customWidth="1"/>
    <col min="789" max="789" width="13.28515625" style="302" customWidth="1"/>
    <col min="790" max="790" width="14" style="302" customWidth="1"/>
    <col min="791" max="791" width="17.5703125" style="302" customWidth="1"/>
    <col min="792" max="801" width="0" style="302" hidden="1" customWidth="1"/>
    <col min="802" max="802" width="2.5703125" style="302" customWidth="1"/>
    <col min="803" max="803" width="42.140625" style="302" bestFit="1" customWidth="1"/>
    <col min="804" max="805" width="9.140625" style="302"/>
    <col min="806" max="806" width="0" style="302" hidden="1" customWidth="1"/>
    <col min="807" max="1034" width="9.140625" style="302"/>
    <col min="1035" max="1035" width="8.5703125" style="302" customWidth="1"/>
    <col min="1036" max="1036" width="21.140625" style="302" customWidth="1"/>
    <col min="1037" max="1040" width="7" style="302" customWidth="1"/>
    <col min="1041" max="1041" width="7.85546875" style="302" customWidth="1"/>
    <col min="1042" max="1044" width="7" style="302" customWidth="1"/>
    <col min="1045" max="1045" width="13.28515625" style="302" customWidth="1"/>
    <col min="1046" max="1046" width="14" style="302" customWidth="1"/>
    <col min="1047" max="1047" width="17.5703125" style="302" customWidth="1"/>
    <col min="1048" max="1057" width="0" style="302" hidden="1" customWidth="1"/>
    <col min="1058" max="1058" width="2.5703125" style="302" customWidth="1"/>
    <col min="1059" max="1059" width="42.140625" style="302" bestFit="1" customWidth="1"/>
    <col min="1060" max="1061" width="9.140625" style="302"/>
    <col min="1062" max="1062" width="0" style="302" hidden="1" customWidth="1"/>
    <col min="1063" max="1290" width="9.140625" style="302"/>
    <col min="1291" max="1291" width="8.5703125" style="302" customWidth="1"/>
    <col min="1292" max="1292" width="21.140625" style="302" customWidth="1"/>
    <col min="1293" max="1296" width="7" style="302" customWidth="1"/>
    <col min="1297" max="1297" width="7.85546875" style="302" customWidth="1"/>
    <col min="1298" max="1300" width="7" style="302" customWidth="1"/>
    <col min="1301" max="1301" width="13.28515625" style="302" customWidth="1"/>
    <col min="1302" max="1302" width="14" style="302" customWidth="1"/>
    <col min="1303" max="1303" width="17.5703125" style="302" customWidth="1"/>
    <col min="1304" max="1313" width="0" style="302" hidden="1" customWidth="1"/>
    <col min="1314" max="1314" width="2.5703125" style="302" customWidth="1"/>
    <col min="1315" max="1315" width="42.140625" style="302" bestFit="1" customWidth="1"/>
    <col min="1316" max="1317" width="9.140625" style="302"/>
    <col min="1318" max="1318" width="0" style="302" hidden="1" customWidth="1"/>
    <col min="1319" max="1546" width="9.140625" style="302"/>
    <col min="1547" max="1547" width="8.5703125" style="302" customWidth="1"/>
    <col min="1548" max="1548" width="21.140625" style="302" customWidth="1"/>
    <col min="1549" max="1552" width="7" style="302" customWidth="1"/>
    <col min="1553" max="1553" width="7.85546875" style="302" customWidth="1"/>
    <col min="1554" max="1556" width="7" style="302" customWidth="1"/>
    <col min="1557" max="1557" width="13.28515625" style="302" customWidth="1"/>
    <col min="1558" max="1558" width="14" style="302" customWidth="1"/>
    <col min="1559" max="1559" width="17.5703125" style="302" customWidth="1"/>
    <col min="1560" max="1569" width="0" style="302" hidden="1" customWidth="1"/>
    <col min="1570" max="1570" width="2.5703125" style="302" customWidth="1"/>
    <col min="1571" max="1571" width="42.140625" style="302" bestFit="1" customWidth="1"/>
    <col min="1572" max="1573" width="9.140625" style="302"/>
    <col min="1574" max="1574" width="0" style="302" hidden="1" customWidth="1"/>
    <col min="1575" max="1802" width="9.140625" style="302"/>
    <col min="1803" max="1803" width="8.5703125" style="302" customWidth="1"/>
    <col min="1804" max="1804" width="21.140625" style="302" customWidth="1"/>
    <col min="1805" max="1808" width="7" style="302" customWidth="1"/>
    <col min="1809" max="1809" width="7.85546875" style="302" customWidth="1"/>
    <col min="1810" max="1812" width="7" style="302" customWidth="1"/>
    <col min="1813" max="1813" width="13.28515625" style="302" customWidth="1"/>
    <col min="1814" max="1814" width="14" style="302" customWidth="1"/>
    <col min="1815" max="1815" width="17.5703125" style="302" customWidth="1"/>
    <col min="1816" max="1825" width="0" style="302" hidden="1" customWidth="1"/>
    <col min="1826" max="1826" width="2.5703125" style="302" customWidth="1"/>
    <col min="1827" max="1827" width="42.140625" style="302" bestFit="1" customWidth="1"/>
    <col min="1828" max="1829" width="9.140625" style="302"/>
    <col min="1830" max="1830" width="0" style="302" hidden="1" customWidth="1"/>
    <col min="1831" max="2058" width="9.140625" style="302"/>
    <col min="2059" max="2059" width="8.5703125" style="302" customWidth="1"/>
    <col min="2060" max="2060" width="21.140625" style="302" customWidth="1"/>
    <col min="2061" max="2064" width="7" style="302" customWidth="1"/>
    <col min="2065" max="2065" width="7.85546875" style="302" customWidth="1"/>
    <col min="2066" max="2068" width="7" style="302" customWidth="1"/>
    <col min="2069" max="2069" width="13.28515625" style="302" customWidth="1"/>
    <col min="2070" max="2070" width="14" style="302" customWidth="1"/>
    <col min="2071" max="2071" width="17.5703125" style="302" customWidth="1"/>
    <col min="2072" max="2081" width="0" style="302" hidden="1" customWidth="1"/>
    <col min="2082" max="2082" width="2.5703125" style="302" customWidth="1"/>
    <col min="2083" max="2083" width="42.140625" style="302" bestFit="1" customWidth="1"/>
    <col min="2084" max="2085" width="9.140625" style="302"/>
    <col min="2086" max="2086" width="0" style="302" hidden="1" customWidth="1"/>
    <col min="2087" max="2314" width="9.140625" style="302"/>
    <col min="2315" max="2315" width="8.5703125" style="302" customWidth="1"/>
    <col min="2316" max="2316" width="21.140625" style="302" customWidth="1"/>
    <col min="2317" max="2320" width="7" style="302" customWidth="1"/>
    <col min="2321" max="2321" width="7.85546875" style="302" customWidth="1"/>
    <col min="2322" max="2324" width="7" style="302" customWidth="1"/>
    <col min="2325" max="2325" width="13.28515625" style="302" customWidth="1"/>
    <col min="2326" max="2326" width="14" style="302" customWidth="1"/>
    <col min="2327" max="2327" width="17.5703125" style="302" customWidth="1"/>
    <col min="2328" max="2337" width="0" style="302" hidden="1" customWidth="1"/>
    <col min="2338" max="2338" width="2.5703125" style="302" customWidth="1"/>
    <col min="2339" max="2339" width="42.140625" style="302" bestFit="1" customWidth="1"/>
    <col min="2340" max="2341" width="9.140625" style="302"/>
    <col min="2342" max="2342" width="0" style="302" hidden="1" customWidth="1"/>
    <col min="2343" max="2570" width="9.140625" style="302"/>
    <col min="2571" max="2571" width="8.5703125" style="302" customWidth="1"/>
    <col min="2572" max="2572" width="21.140625" style="302" customWidth="1"/>
    <col min="2573" max="2576" width="7" style="302" customWidth="1"/>
    <col min="2577" max="2577" width="7.85546875" style="302" customWidth="1"/>
    <col min="2578" max="2580" width="7" style="302" customWidth="1"/>
    <col min="2581" max="2581" width="13.28515625" style="302" customWidth="1"/>
    <col min="2582" max="2582" width="14" style="302" customWidth="1"/>
    <col min="2583" max="2583" width="17.5703125" style="302" customWidth="1"/>
    <col min="2584" max="2593" width="0" style="302" hidden="1" customWidth="1"/>
    <col min="2594" max="2594" width="2.5703125" style="302" customWidth="1"/>
    <col min="2595" max="2595" width="42.140625" style="302" bestFit="1" customWidth="1"/>
    <col min="2596" max="2597" width="9.140625" style="302"/>
    <col min="2598" max="2598" width="0" style="302" hidden="1" customWidth="1"/>
    <col min="2599" max="2826" width="9.140625" style="302"/>
    <col min="2827" max="2827" width="8.5703125" style="302" customWidth="1"/>
    <col min="2828" max="2828" width="21.140625" style="302" customWidth="1"/>
    <col min="2829" max="2832" width="7" style="302" customWidth="1"/>
    <col min="2833" max="2833" width="7.85546875" style="302" customWidth="1"/>
    <col min="2834" max="2836" width="7" style="302" customWidth="1"/>
    <col min="2837" max="2837" width="13.28515625" style="302" customWidth="1"/>
    <col min="2838" max="2838" width="14" style="302" customWidth="1"/>
    <col min="2839" max="2839" width="17.5703125" style="302" customWidth="1"/>
    <col min="2840" max="2849" width="0" style="302" hidden="1" customWidth="1"/>
    <col min="2850" max="2850" width="2.5703125" style="302" customWidth="1"/>
    <col min="2851" max="2851" width="42.140625" style="302" bestFit="1" customWidth="1"/>
    <col min="2852" max="2853" width="9.140625" style="302"/>
    <col min="2854" max="2854" width="0" style="302" hidden="1" customWidth="1"/>
    <col min="2855" max="3082" width="9.140625" style="302"/>
    <col min="3083" max="3083" width="8.5703125" style="302" customWidth="1"/>
    <col min="3084" max="3084" width="21.140625" style="302" customWidth="1"/>
    <col min="3085" max="3088" width="7" style="302" customWidth="1"/>
    <col min="3089" max="3089" width="7.85546875" style="302" customWidth="1"/>
    <col min="3090" max="3092" width="7" style="302" customWidth="1"/>
    <col min="3093" max="3093" width="13.28515625" style="302" customWidth="1"/>
    <col min="3094" max="3094" width="14" style="302" customWidth="1"/>
    <col min="3095" max="3095" width="17.5703125" style="302" customWidth="1"/>
    <col min="3096" max="3105" width="0" style="302" hidden="1" customWidth="1"/>
    <col min="3106" max="3106" width="2.5703125" style="302" customWidth="1"/>
    <col min="3107" max="3107" width="42.140625" style="302" bestFit="1" customWidth="1"/>
    <col min="3108" max="3109" width="9.140625" style="302"/>
    <col min="3110" max="3110" width="0" style="302" hidden="1" customWidth="1"/>
    <col min="3111" max="3338" width="9.140625" style="302"/>
    <col min="3339" max="3339" width="8.5703125" style="302" customWidth="1"/>
    <col min="3340" max="3340" width="21.140625" style="302" customWidth="1"/>
    <col min="3341" max="3344" width="7" style="302" customWidth="1"/>
    <col min="3345" max="3345" width="7.85546875" style="302" customWidth="1"/>
    <col min="3346" max="3348" width="7" style="302" customWidth="1"/>
    <col min="3349" max="3349" width="13.28515625" style="302" customWidth="1"/>
    <col min="3350" max="3350" width="14" style="302" customWidth="1"/>
    <col min="3351" max="3351" width="17.5703125" style="302" customWidth="1"/>
    <col min="3352" max="3361" width="0" style="302" hidden="1" customWidth="1"/>
    <col min="3362" max="3362" width="2.5703125" style="302" customWidth="1"/>
    <col min="3363" max="3363" width="42.140625" style="302" bestFit="1" customWidth="1"/>
    <col min="3364" max="3365" width="9.140625" style="302"/>
    <col min="3366" max="3366" width="0" style="302" hidden="1" customWidth="1"/>
    <col min="3367" max="3594" width="9.140625" style="302"/>
    <col min="3595" max="3595" width="8.5703125" style="302" customWidth="1"/>
    <col min="3596" max="3596" width="21.140625" style="302" customWidth="1"/>
    <col min="3597" max="3600" width="7" style="302" customWidth="1"/>
    <col min="3601" max="3601" width="7.85546875" style="302" customWidth="1"/>
    <col min="3602" max="3604" width="7" style="302" customWidth="1"/>
    <col min="3605" max="3605" width="13.28515625" style="302" customWidth="1"/>
    <col min="3606" max="3606" width="14" style="302" customWidth="1"/>
    <col min="3607" max="3607" width="17.5703125" style="302" customWidth="1"/>
    <col min="3608" max="3617" width="0" style="302" hidden="1" customWidth="1"/>
    <col min="3618" max="3618" width="2.5703125" style="302" customWidth="1"/>
    <col min="3619" max="3619" width="42.140625" style="302" bestFit="1" customWidth="1"/>
    <col min="3620" max="3621" width="9.140625" style="302"/>
    <col min="3622" max="3622" width="0" style="302" hidden="1" customWidth="1"/>
    <col min="3623" max="3850" width="9.140625" style="302"/>
    <col min="3851" max="3851" width="8.5703125" style="302" customWidth="1"/>
    <col min="3852" max="3852" width="21.140625" style="302" customWidth="1"/>
    <col min="3853" max="3856" width="7" style="302" customWidth="1"/>
    <col min="3857" max="3857" width="7.85546875" style="302" customWidth="1"/>
    <col min="3858" max="3860" width="7" style="302" customWidth="1"/>
    <col min="3861" max="3861" width="13.28515625" style="302" customWidth="1"/>
    <col min="3862" max="3862" width="14" style="302" customWidth="1"/>
    <col min="3863" max="3863" width="17.5703125" style="302" customWidth="1"/>
    <col min="3864" max="3873" width="0" style="302" hidden="1" customWidth="1"/>
    <col min="3874" max="3874" width="2.5703125" style="302" customWidth="1"/>
    <col min="3875" max="3875" width="42.140625" style="302" bestFit="1" customWidth="1"/>
    <col min="3876" max="3877" width="9.140625" style="302"/>
    <col min="3878" max="3878" width="0" style="302" hidden="1" customWidth="1"/>
    <col min="3879" max="4106" width="9.140625" style="302"/>
    <col min="4107" max="4107" width="8.5703125" style="302" customWidth="1"/>
    <col min="4108" max="4108" width="21.140625" style="302" customWidth="1"/>
    <col min="4109" max="4112" width="7" style="302" customWidth="1"/>
    <col min="4113" max="4113" width="7.85546875" style="302" customWidth="1"/>
    <col min="4114" max="4116" width="7" style="302" customWidth="1"/>
    <col min="4117" max="4117" width="13.28515625" style="302" customWidth="1"/>
    <col min="4118" max="4118" width="14" style="302" customWidth="1"/>
    <col min="4119" max="4119" width="17.5703125" style="302" customWidth="1"/>
    <col min="4120" max="4129" width="0" style="302" hidden="1" customWidth="1"/>
    <col min="4130" max="4130" width="2.5703125" style="302" customWidth="1"/>
    <col min="4131" max="4131" width="42.140625" style="302" bestFit="1" customWidth="1"/>
    <col min="4132" max="4133" width="9.140625" style="302"/>
    <col min="4134" max="4134" width="0" style="302" hidden="1" customWidth="1"/>
    <col min="4135" max="4362" width="9.140625" style="302"/>
    <col min="4363" max="4363" width="8.5703125" style="302" customWidth="1"/>
    <col min="4364" max="4364" width="21.140625" style="302" customWidth="1"/>
    <col min="4365" max="4368" width="7" style="302" customWidth="1"/>
    <col min="4369" max="4369" width="7.85546875" style="302" customWidth="1"/>
    <col min="4370" max="4372" width="7" style="302" customWidth="1"/>
    <col min="4373" max="4373" width="13.28515625" style="302" customWidth="1"/>
    <col min="4374" max="4374" width="14" style="302" customWidth="1"/>
    <col min="4375" max="4375" width="17.5703125" style="302" customWidth="1"/>
    <col min="4376" max="4385" width="0" style="302" hidden="1" customWidth="1"/>
    <col min="4386" max="4386" width="2.5703125" style="302" customWidth="1"/>
    <col min="4387" max="4387" width="42.140625" style="302" bestFit="1" customWidth="1"/>
    <col min="4388" max="4389" width="9.140625" style="302"/>
    <col min="4390" max="4390" width="0" style="302" hidden="1" customWidth="1"/>
    <col min="4391" max="4618" width="9.140625" style="302"/>
    <col min="4619" max="4619" width="8.5703125" style="302" customWidth="1"/>
    <col min="4620" max="4620" width="21.140625" style="302" customWidth="1"/>
    <col min="4621" max="4624" width="7" style="302" customWidth="1"/>
    <col min="4625" max="4625" width="7.85546875" style="302" customWidth="1"/>
    <col min="4626" max="4628" width="7" style="302" customWidth="1"/>
    <col min="4629" max="4629" width="13.28515625" style="302" customWidth="1"/>
    <col min="4630" max="4630" width="14" style="302" customWidth="1"/>
    <col min="4631" max="4631" width="17.5703125" style="302" customWidth="1"/>
    <col min="4632" max="4641" width="0" style="302" hidden="1" customWidth="1"/>
    <col min="4642" max="4642" width="2.5703125" style="302" customWidth="1"/>
    <col min="4643" max="4643" width="42.140625" style="302" bestFit="1" customWidth="1"/>
    <col min="4644" max="4645" width="9.140625" style="302"/>
    <col min="4646" max="4646" width="0" style="302" hidden="1" customWidth="1"/>
    <col min="4647" max="4874" width="9.140625" style="302"/>
    <col min="4875" max="4875" width="8.5703125" style="302" customWidth="1"/>
    <col min="4876" max="4876" width="21.140625" style="302" customWidth="1"/>
    <col min="4877" max="4880" width="7" style="302" customWidth="1"/>
    <col min="4881" max="4881" width="7.85546875" style="302" customWidth="1"/>
    <col min="4882" max="4884" width="7" style="302" customWidth="1"/>
    <col min="4885" max="4885" width="13.28515625" style="302" customWidth="1"/>
    <col min="4886" max="4886" width="14" style="302" customWidth="1"/>
    <col min="4887" max="4887" width="17.5703125" style="302" customWidth="1"/>
    <col min="4888" max="4897" width="0" style="302" hidden="1" customWidth="1"/>
    <col min="4898" max="4898" width="2.5703125" style="302" customWidth="1"/>
    <col min="4899" max="4899" width="42.140625" style="302" bestFit="1" customWidth="1"/>
    <col min="4900" max="4901" width="9.140625" style="302"/>
    <col min="4902" max="4902" width="0" style="302" hidden="1" customWidth="1"/>
    <col min="4903" max="5130" width="9.140625" style="302"/>
    <col min="5131" max="5131" width="8.5703125" style="302" customWidth="1"/>
    <col min="5132" max="5132" width="21.140625" style="302" customWidth="1"/>
    <col min="5133" max="5136" width="7" style="302" customWidth="1"/>
    <col min="5137" max="5137" width="7.85546875" style="302" customWidth="1"/>
    <col min="5138" max="5140" width="7" style="302" customWidth="1"/>
    <col min="5141" max="5141" width="13.28515625" style="302" customWidth="1"/>
    <col min="5142" max="5142" width="14" style="302" customWidth="1"/>
    <col min="5143" max="5143" width="17.5703125" style="302" customWidth="1"/>
    <col min="5144" max="5153" width="0" style="302" hidden="1" customWidth="1"/>
    <col min="5154" max="5154" width="2.5703125" style="302" customWidth="1"/>
    <col min="5155" max="5155" width="42.140625" style="302" bestFit="1" customWidth="1"/>
    <col min="5156" max="5157" width="9.140625" style="302"/>
    <col min="5158" max="5158" width="0" style="302" hidden="1" customWidth="1"/>
    <col min="5159" max="5386" width="9.140625" style="302"/>
    <col min="5387" max="5387" width="8.5703125" style="302" customWidth="1"/>
    <col min="5388" max="5388" width="21.140625" style="302" customWidth="1"/>
    <col min="5389" max="5392" width="7" style="302" customWidth="1"/>
    <col min="5393" max="5393" width="7.85546875" style="302" customWidth="1"/>
    <col min="5394" max="5396" width="7" style="302" customWidth="1"/>
    <col min="5397" max="5397" width="13.28515625" style="302" customWidth="1"/>
    <col min="5398" max="5398" width="14" style="302" customWidth="1"/>
    <col min="5399" max="5399" width="17.5703125" style="302" customWidth="1"/>
    <col min="5400" max="5409" width="0" style="302" hidden="1" customWidth="1"/>
    <col min="5410" max="5410" width="2.5703125" style="302" customWidth="1"/>
    <col min="5411" max="5411" width="42.140625" style="302" bestFit="1" customWidth="1"/>
    <col min="5412" max="5413" width="9.140625" style="302"/>
    <col min="5414" max="5414" width="0" style="302" hidden="1" customWidth="1"/>
    <col min="5415" max="5642" width="9.140625" style="302"/>
    <col min="5643" max="5643" width="8.5703125" style="302" customWidth="1"/>
    <col min="5644" max="5644" width="21.140625" style="302" customWidth="1"/>
    <col min="5645" max="5648" width="7" style="302" customWidth="1"/>
    <col min="5649" max="5649" width="7.85546875" style="302" customWidth="1"/>
    <col min="5650" max="5652" width="7" style="302" customWidth="1"/>
    <col min="5653" max="5653" width="13.28515625" style="302" customWidth="1"/>
    <col min="5654" max="5654" width="14" style="302" customWidth="1"/>
    <col min="5655" max="5655" width="17.5703125" style="302" customWidth="1"/>
    <col min="5656" max="5665" width="0" style="302" hidden="1" customWidth="1"/>
    <col min="5666" max="5666" width="2.5703125" style="302" customWidth="1"/>
    <col min="5667" max="5667" width="42.140625" style="302" bestFit="1" customWidth="1"/>
    <col min="5668" max="5669" width="9.140625" style="302"/>
    <col min="5670" max="5670" width="0" style="302" hidden="1" customWidth="1"/>
    <col min="5671" max="5898" width="9.140625" style="302"/>
    <col min="5899" max="5899" width="8.5703125" style="302" customWidth="1"/>
    <col min="5900" max="5900" width="21.140625" style="302" customWidth="1"/>
    <col min="5901" max="5904" width="7" style="302" customWidth="1"/>
    <col min="5905" max="5905" width="7.85546875" style="302" customWidth="1"/>
    <col min="5906" max="5908" width="7" style="302" customWidth="1"/>
    <col min="5909" max="5909" width="13.28515625" style="302" customWidth="1"/>
    <col min="5910" max="5910" width="14" style="302" customWidth="1"/>
    <col min="5911" max="5911" width="17.5703125" style="302" customWidth="1"/>
    <col min="5912" max="5921" width="0" style="302" hidden="1" customWidth="1"/>
    <col min="5922" max="5922" width="2.5703125" style="302" customWidth="1"/>
    <col min="5923" max="5923" width="42.140625" style="302" bestFit="1" customWidth="1"/>
    <col min="5924" max="5925" width="9.140625" style="302"/>
    <col min="5926" max="5926" width="0" style="302" hidden="1" customWidth="1"/>
    <col min="5927" max="6154" width="9.140625" style="302"/>
    <col min="6155" max="6155" width="8.5703125" style="302" customWidth="1"/>
    <col min="6156" max="6156" width="21.140625" style="302" customWidth="1"/>
    <col min="6157" max="6160" width="7" style="302" customWidth="1"/>
    <col min="6161" max="6161" width="7.85546875" style="302" customWidth="1"/>
    <col min="6162" max="6164" width="7" style="302" customWidth="1"/>
    <col min="6165" max="6165" width="13.28515625" style="302" customWidth="1"/>
    <col min="6166" max="6166" width="14" style="302" customWidth="1"/>
    <col min="6167" max="6167" width="17.5703125" style="302" customWidth="1"/>
    <col min="6168" max="6177" width="0" style="302" hidden="1" customWidth="1"/>
    <col min="6178" max="6178" width="2.5703125" style="302" customWidth="1"/>
    <col min="6179" max="6179" width="42.140625" style="302" bestFit="1" customWidth="1"/>
    <col min="6180" max="6181" width="9.140625" style="302"/>
    <col min="6182" max="6182" width="0" style="302" hidden="1" customWidth="1"/>
    <col min="6183" max="6410" width="9.140625" style="302"/>
    <col min="6411" max="6411" width="8.5703125" style="302" customWidth="1"/>
    <col min="6412" max="6412" width="21.140625" style="302" customWidth="1"/>
    <col min="6413" max="6416" width="7" style="302" customWidth="1"/>
    <col min="6417" max="6417" width="7.85546875" style="302" customWidth="1"/>
    <col min="6418" max="6420" width="7" style="302" customWidth="1"/>
    <col min="6421" max="6421" width="13.28515625" style="302" customWidth="1"/>
    <col min="6422" max="6422" width="14" style="302" customWidth="1"/>
    <col min="6423" max="6423" width="17.5703125" style="302" customWidth="1"/>
    <col min="6424" max="6433" width="0" style="302" hidden="1" customWidth="1"/>
    <col min="6434" max="6434" width="2.5703125" style="302" customWidth="1"/>
    <col min="6435" max="6435" width="42.140625" style="302" bestFit="1" customWidth="1"/>
    <col min="6436" max="6437" width="9.140625" style="302"/>
    <col min="6438" max="6438" width="0" style="302" hidden="1" customWidth="1"/>
    <col min="6439" max="6666" width="9.140625" style="302"/>
    <col min="6667" max="6667" width="8.5703125" style="302" customWidth="1"/>
    <col min="6668" max="6668" width="21.140625" style="302" customWidth="1"/>
    <col min="6669" max="6672" width="7" style="302" customWidth="1"/>
    <col min="6673" max="6673" width="7.85546875" style="302" customWidth="1"/>
    <col min="6674" max="6676" width="7" style="302" customWidth="1"/>
    <col min="6677" max="6677" width="13.28515625" style="302" customWidth="1"/>
    <col min="6678" max="6678" width="14" style="302" customWidth="1"/>
    <col min="6679" max="6679" width="17.5703125" style="302" customWidth="1"/>
    <col min="6680" max="6689" width="0" style="302" hidden="1" customWidth="1"/>
    <col min="6690" max="6690" width="2.5703125" style="302" customWidth="1"/>
    <col min="6691" max="6691" width="42.140625" style="302" bestFit="1" customWidth="1"/>
    <col min="6692" max="6693" width="9.140625" style="302"/>
    <col min="6694" max="6694" width="0" style="302" hidden="1" customWidth="1"/>
    <col min="6695" max="6922" width="9.140625" style="302"/>
    <col min="6923" max="6923" width="8.5703125" style="302" customWidth="1"/>
    <col min="6924" max="6924" width="21.140625" style="302" customWidth="1"/>
    <col min="6925" max="6928" width="7" style="302" customWidth="1"/>
    <col min="6929" max="6929" width="7.85546875" style="302" customWidth="1"/>
    <col min="6930" max="6932" width="7" style="302" customWidth="1"/>
    <col min="6933" max="6933" width="13.28515625" style="302" customWidth="1"/>
    <col min="6934" max="6934" width="14" style="302" customWidth="1"/>
    <col min="6935" max="6935" width="17.5703125" style="302" customWidth="1"/>
    <col min="6936" max="6945" width="0" style="302" hidden="1" customWidth="1"/>
    <col min="6946" max="6946" width="2.5703125" style="302" customWidth="1"/>
    <col min="6947" max="6947" width="42.140625" style="302" bestFit="1" customWidth="1"/>
    <col min="6948" max="6949" width="9.140625" style="302"/>
    <col min="6950" max="6950" width="0" style="302" hidden="1" customWidth="1"/>
    <col min="6951" max="7178" width="9.140625" style="302"/>
    <col min="7179" max="7179" width="8.5703125" style="302" customWidth="1"/>
    <col min="7180" max="7180" width="21.140625" style="302" customWidth="1"/>
    <col min="7181" max="7184" width="7" style="302" customWidth="1"/>
    <col min="7185" max="7185" width="7.85546875" style="302" customWidth="1"/>
    <col min="7186" max="7188" width="7" style="302" customWidth="1"/>
    <col min="7189" max="7189" width="13.28515625" style="302" customWidth="1"/>
    <col min="7190" max="7190" width="14" style="302" customWidth="1"/>
    <col min="7191" max="7191" width="17.5703125" style="302" customWidth="1"/>
    <col min="7192" max="7201" width="0" style="302" hidden="1" customWidth="1"/>
    <col min="7202" max="7202" width="2.5703125" style="302" customWidth="1"/>
    <col min="7203" max="7203" width="42.140625" style="302" bestFit="1" customWidth="1"/>
    <col min="7204" max="7205" width="9.140625" style="302"/>
    <col min="7206" max="7206" width="0" style="302" hidden="1" customWidth="1"/>
    <col min="7207" max="7434" width="9.140625" style="302"/>
    <col min="7435" max="7435" width="8.5703125" style="302" customWidth="1"/>
    <col min="7436" max="7436" width="21.140625" style="302" customWidth="1"/>
    <col min="7437" max="7440" width="7" style="302" customWidth="1"/>
    <col min="7441" max="7441" width="7.85546875" style="302" customWidth="1"/>
    <col min="7442" max="7444" width="7" style="302" customWidth="1"/>
    <col min="7445" max="7445" width="13.28515625" style="302" customWidth="1"/>
    <col min="7446" max="7446" width="14" style="302" customWidth="1"/>
    <col min="7447" max="7447" width="17.5703125" style="302" customWidth="1"/>
    <col min="7448" max="7457" width="0" style="302" hidden="1" customWidth="1"/>
    <col min="7458" max="7458" width="2.5703125" style="302" customWidth="1"/>
    <col min="7459" max="7459" width="42.140625" style="302" bestFit="1" customWidth="1"/>
    <col min="7460" max="7461" width="9.140625" style="302"/>
    <col min="7462" max="7462" width="0" style="302" hidden="1" customWidth="1"/>
    <col min="7463" max="7690" width="9.140625" style="302"/>
    <col min="7691" max="7691" width="8.5703125" style="302" customWidth="1"/>
    <col min="7692" max="7692" width="21.140625" style="302" customWidth="1"/>
    <col min="7693" max="7696" width="7" style="302" customWidth="1"/>
    <col min="7697" max="7697" width="7.85546875" style="302" customWidth="1"/>
    <col min="7698" max="7700" width="7" style="302" customWidth="1"/>
    <col min="7701" max="7701" width="13.28515625" style="302" customWidth="1"/>
    <col min="7702" max="7702" width="14" style="302" customWidth="1"/>
    <col min="7703" max="7703" width="17.5703125" style="302" customWidth="1"/>
    <col min="7704" max="7713" width="0" style="302" hidden="1" customWidth="1"/>
    <col min="7714" max="7714" width="2.5703125" style="302" customWidth="1"/>
    <col min="7715" max="7715" width="42.140625" style="302" bestFit="1" customWidth="1"/>
    <col min="7716" max="7717" width="9.140625" style="302"/>
    <col min="7718" max="7718" width="0" style="302" hidden="1" customWidth="1"/>
    <col min="7719" max="7946" width="9.140625" style="302"/>
    <col min="7947" max="7947" width="8.5703125" style="302" customWidth="1"/>
    <col min="7948" max="7948" width="21.140625" style="302" customWidth="1"/>
    <col min="7949" max="7952" width="7" style="302" customWidth="1"/>
    <col min="7953" max="7953" width="7.85546875" style="302" customWidth="1"/>
    <col min="7954" max="7956" width="7" style="302" customWidth="1"/>
    <col min="7957" max="7957" width="13.28515625" style="302" customWidth="1"/>
    <col min="7958" max="7958" width="14" style="302" customWidth="1"/>
    <col min="7959" max="7959" width="17.5703125" style="302" customWidth="1"/>
    <col min="7960" max="7969" width="0" style="302" hidden="1" customWidth="1"/>
    <col min="7970" max="7970" width="2.5703125" style="302" customWidth="1"/>
    <col min="7971" max="7971" width="42.140625" style="302" bestFit="1" customWidth="1"/>
    <col min="7972" max="7973" width="9.140625" style="302"/>
    <col min="7974" max="7974" width="0" style="302" hidden="1" customWidth="1"/>
    <col min="7975" max="8202" width="9.140625" style="302"/>
    <col min="8203" max="8203" width="8.5703125" style="302" customWidth="1"/>
    <col min="8204" max="8204" width="21.140625" style="302" customWidth="1"/>
    <col min="8205" max="8208" width="7" style="302" customWidth="1"/>
    <col min="8209" max="8209" width="7.85546875" style="302" customWidth="1"/>
    <col min="8210" max="8212" width="7" style="302" customWidth="1"/>
    <col min="8213" max="8213" width="13.28515625" style="302" customWidth="1"/>
    <col min="8214" max="8214" width="14" style="302" customWidth="1"/>
    <col min="8215" max="8215" width="17.5703125" style="302" customWidth="1"/>
    <col min="8216" max="8225" width="0" style="302" hidden="1" customWidth="1"/>
    <col min="8226" max="8226" width="2.5703125" style="302" customWidth="1"/>
    <col min="8227" max="8227" width="42.140625" style="302" bestFit="1" customWidth="1"/>
    <col min="8228" max="8229" width="9.140625" style="302"/>
    <col min="8230" max="8230" width="0" style="302" hidden="1" customWidth="1"/>
    <col min="8231" max="8458" width="9.140625" style="302"/>
    <col min="8459" max="8459" width="8.5703125" style="302" customWidth="1"/>
    <col min="8460" max="8460" width="21.140625" style="302" customWidth="1"/>
    <col min="8461" max="8464" width="7" style="302" customWidth="1"/>
    <col min="8465" max="8465" width="7.85546875" style="302" customWidth="1"/>
    <col min="8466" max="8468" width="7" style="302" customWidth="1"/>
    <col min="8469" max="8469" width="13.28515625" style="302" customWidth="1"/>
    <col min="8470" max="8470" width="14" style="302" customWidth="1"/>
    <col min="8471" max="8471" width="17.5703125" style="302" customWidth="1"/>
    <col min="8472" max="8481" width="0" style="302" hidden="1" customWidth="1"/>
    <col min="8482" max="8482" width="2.5703125" style="302" customWidth="1"/>
    <col min="8483" max="8483" width="42.140625" style="302" bestFit="1" customWidth="1"/>
    <col min="8484" max="8485" width="9.140625" style="302"/>
    <col min="8486" max="8486" width="0" style="302" hidden="1" customWidth="1"/>
    <col min="8487" max="8714" width="9.140625" style="302"/>
    <col min="8715" max="8715" width="8.5703125" style="302" customWidth="1"/>
    <col min="8716" max="8716" width="21.140625" style="302" customWidth="1"/>
    <col min="8717" max="8720" width="7" style="302" customWidth="1"/>
    <col min="8721" max="8721" width="7.85546875" style="302" customWidth="1"/>
    <col min="8722" max="8724" width="7" style="302" customWidth="1"/>
    <col min="8725" max="8725" width="13.28515625" style="302" customWidth="1"/>
    <col min="8726" max="8726" width="14" style="302" customWidth="1"/>
    <col min="8727" max="8727" width="17.5703125" style="302" customWidth="1"/>
    <col min="8728" max="8737" width="0" style="302" hidden="1" customWidth="1"/>
    <col min="8738" max="8738" width="2.5703125" style="302" customWidth="1"/>
    <col min="8739" max="8739" width="42.140625" style="302" bestFit="1" customWidth="1"/>
    <col min="8740" max="8741" width="9.140625" style="302"/>
    <col min="8742" max="8742" width="0" style="302" hidden="1" customWidth="1"/>
    <col min="8743" max="8970" width="9.140625" style="302"/>
    <col min="8971" max="8971" width="8.5703125" style="302" customWidth="1"/>
    <col min="8972" max="8972" width="21.140625" style="302" customWidth="1"/>
    <col min="8973" max="8976" width="7" style="302" customWidth="1"/>
    <col min="8977" max="8977" width="7.85546875" style="302" customWidth="1"/>
    <col min="8978" max="8980" width="7" style="302" customWidth="1"/>
    <col min="8981" max="8981" width="13.28515625" style="302" customWidth="1"/>
    <col min="8982" max="8982" width="14" style="302" customWidth="1"/>
    <col min="8983" max="8983" width="17.5703125" style="302" customWidth="1"/>
    <col min="8984" max="8993" width="0" style="302" hidden="1" customWidth="1"/>
    <col min="8994" max="8994" width="2.5703125" style="302" customWidth="1"/>
    <col min="8995" max="8995" width="42.140625" style="302" bestFit="1" customWidth="1"/>
    <col min="8996" max="8997" width="9.140625" style="302"/>
    <col min="8998" max="8998" width="0" style="302" hidden="1" customWidth="1"/>
    <col min="8999" max="9226" width="9.140625" style="302"/>
    <col min="9227" max="9227" width="8.5703125" style="302" customWidth="1"/>
    <col min="9228" max="9228" width="21.140625" style="302" customWidth="1"/>
    <col min="9229" max="9232" width="7" style="302" customWidth="1"/>
    <col min="9233" max="9233" width="7.85546875" style="302" customWidth="1"/>
    <col min="9234" max="9236" width="7" style="302" customWidth="1"/>
    <col min="9237" max="9237" width="13.28515625" style="302" customWidth="1"/>
    <col min="9238" max="9238" width="14" style="302" customWidth="1"/>
    <col min="9239" max="9239" width="17.5703125" style="302" customWidth="1"/>
    <col min="9240" max="9249" width="0" style="302" hidden="1" customWidth="1"/>
    <col min="9250" max="9250" width="2.5703125" style="302" customWidth="1"/>
    <col min="9251" max="9251" width="42.140625" style="302" bestFit="1" customWidth="1"/>
    <col min="9252" max="9253" width="9.140625" style="302"/>
    <col min="9254" max="9254" width="0" style="302" hidden="1" customWidth="1"/>
    <col min="9255" max="9482" width="9.140625" style="302"/>
    <col min="9483" max="9483" width="8.5703125" style="302" customWidth="1"/>
    <col min="9484" max="9484" width="21.140625" style="302" customWidth="1"/>
    <col min="9485" max="9488" width="7" style="302" customWidth="1"/>
    <col min="9489" max="9489" width="7.85546875" style="302" customWidth="1"/>
    <col min="9490" max="9492" width="7" style="302" customWidth="1"/>
    <col min="9493" max="9493" width="13.28515625" style="302" customWidth="1"/>
    <col min="9494" max="9494" width="14" style="302" customWidth="1"/>
    <col min="9495" max="9495" width="17.5703125" style="302" customWidth="1"/>
    <col min="9496" max="9505" width="0" style="302" hidden="1" customWidth="1"/>
    <col min="9506" max="9506" width="2.5703125" style="302" customWidth="1"/>
    <col min="9507" max="9507" width="42.140625" style="302" bestFit="1" customWidth="1"/>
    <col min="9508" max="9509" width="9.140625" style="302"/>
    <col min="9510" max="9510" width="0" style="302" hidden="1" customWidth="1"/>
    <col min="9511" max="9738" width="9.140625" style="302"/>
    <col min="9739" max="9739" width="8.5703125" style="302" customWidth="1"/>
    <col min="9740" max="9740" width="21.140625" style="302" customWidth="1"/>
    <col min="9741" max="9744" width="7" style="302" customWidth="1"/>
    <col min="9745" max="9745" width="7.85546875" style="302" customWidth="1"/>
    <col min="9746" max="9748" width="7" style="302" customWidth="1"/>
    <col min="9749" max="9749" width="13.28515625" style="302" customWidth="1"/>
    <col min="9750" max="9750" width="14" style="302" customWidth="1"/>
    <col min="9751" max="9751" width="17.5703125" style="302" customWidth="1"/>
    <col min="9752" max="9761" width="0" style="302" hidden="1" customWidth="1"/>
    <col min="9762" max="9762" width="2.5703125" style="302" customWidth="1"/>
    <col min="9763" max="9763" width="42.140625" style="302" bestFit="1" customWidth="1"/>
    <col min="9764" max="9765" width="9.140625" style="302"/>
    <col min="9766" max="9766" width="0" style="302" hidden="1" customWidth="1"/>
    <col min="9767" max="9994" width="9.140625" style="302"/>
    <col min="9995" max="9995" width="8.5703125" style="302" customWidth="1"/>
    <col min="9996" max="9996" width="21.140625" style="302" customWidth="1"/>
    <col min="9997" max="10000" width="7" style="302" customWidth="1"/>
    <col min="10001" max="10001" width="7.85546875" style="302" customWidth="1"/>
    <col min="10002" max="10004" width="7" style="302" customWidth="1"/>
    <col min="10005" max="10005" width="13.28515625" style="302" customWidth="1"/>
    <col min="10006" max="10006" width="14" style="302" customWidth="1"/>
    <col min="10007" max="10007" width="17.5703125" style="302" customWidth="1"/>
    <col min="10008" max="10017" width="0" style="302" hidden="1" customWidth="1"/>
    <col min="10018" max="10018" width="2.5703125" style="302" customWidth="1"/>
    <col min="10019" max="10019" width="42.140625" style="302" bestFit="1" customWidth="1"/>
    <col min="10020" max="10021" width="9.140625" style="302"/>
    <col min="10022" max="10022" width="0" style="302" hidden="1" customWidth="1"/>
    <col min="10023" max="10250" width="9.140625" style="302"/>
    <col min="10251" max="10251" width="8.5703125" style="302" customWidth="1"/>
    <col min="10252" max="10252" width="21.140625" style="302" customWidth="1"/>
    <col min="10253" max="10256" width="7" style="302" customWidth="1"/>
    <col min="10257" max="10257" width="7.85546875" style="302" customWidth="1"/>
    <col min="10258" max="10260" width="7" style="302" customWidth="1"/>
    <col min="10261" max="10261" width="13.28515625" style="302" customWidth="1"/>
    <col min="10262" max="10262" width="14" style="302" customWidth="1"/>
    <col min="10263" max="10263" width="17.5703125" style="302" customWidth="1"/>
    <col min="10264" max="10273" width="0" style="302" hidden="1" customWidth="1"/>
    <col min="10274" max="10274" width="2.5703125" style="302" customWidth="1"/>
    <col min="10275" max="10275" width="42.140625" style="302" bestFit="1" customWidth="1"/>
    <col min="10276" max="10277" width="9.140625" style="302"/>
    <col min="10278" max="10278" width="0" style="302" hidden="1" customWidth="1"/>
    <col min="10279" max="10506" width="9.140625" style="302"/>
    <col min="10507" max="10507" width="8.5703125" style="302" customWidth="1"/>
    <col min="10508" max="10508" width="21.140625" style="302" customWidth="1"/>
    <col min="10509" max="10512" width="7" style="302" customWidth="1"/>
    <col min="10513" max="10513" width="7.85546875" style="302" customWidth="1"/>
    <col min="10514" max="10516" width="7" style="302" customWidth="1"/>
    <col min="10517" max="10517" width="13.28515625" style="302" customWidth="1"/>
    <col min="10518" max="10518" width="14" style="302" customWidth="1"/>
    <col min="10519" max="10519" width="17.5703125" style="302" customWidth="1"/>
    <col min="10520" max="10529" width="0" style="302" hidden="1" customWidth="1"/>
    <col min="10530" max="10530" width="2.5703125" style="302" customWidth="1"/>
    <col min="10531" max="10531" width="42.140625" style="302" bestFit="1" customWidth="1"/>
    <col min="10532" max="10533" width="9.140625" style="302"/>
    <col min="10534" max="10534" width="0" style="302" hidden="1" customWidth="1"/>
    <col min="10535" max="10762" width="9.140625" style="302"/>
    <col min="10763" max="10763" width="8.5703125" style="302" customWidth="1"/>
    <col min="10764" max="10764" width="21.140625" style="302" customWidth="1"/>
    <col min="10765" max="10768" width="7" style="302" customWidth="1"/>
    <col min="10769" max="10769" width="7.85546875" style="302" customWidth="1"/>
    <col min="10770" max="10772" width="7" style="302" customWidth="1"/>
    <col min="10773" max="10773" width="13.28515625" style="302" customWidth="1"/>
    <col min="10774" max="10774" width="14" style="302" customWidth="1"/>
    <col min="10775" max="10775" width="17.5703125" style="302" customWidth="1"/>
    <col min="10776" max="10785" width="0" style="302" hidden="1" customWidth="1"/>
    <col min="10786" max="10786" width="2.5703125" style="302" customWidth="1"/>
    <col min="10787" max="10787" width="42.140625" style="302" bestFit="1" customWidth="1"/>
    <col min="10788" max="10789" width="9.140625" style="302"/>
    <col min="10790" max="10790" width="0" style="302" hidden="1" customWidth="1"/>
    <col min="10791" max="11018" width="9.140625" style="302"/>
    <col min="11019" max="11019" width="8.5703125" style="302" customWidth="1"/>
    <col min="11020" max="11020" width="21.140625" style="302" customWidth="1"/>
    <col min="11021" max="11024" width="7" style="302" customWidth="1"/>
    <col min="11025" max="11025" width="7.85546875" style="302" customWidth="1"/>
    <col min="11026" max="11028" width="7" style="302" customWidth="1"/>
    <col min="11029" max="11029" width="13.28515625" style="302" customWidth="1"/>
    <col min="11030" max="11030" width="14" style="302" customWidth="1"/>
    <col min="11031" max="11031" width="17.5703125" style="302" customWidth="1"/>
    <col min="11032" max="11041" width="0" style="302" hidden="1" customWidth="1"/>
    <col min="11042" max="11042" width="2.5703125" style="302" customWidth="1"/>
    <col min="11043" max="11043" width="42.140625" style="302" bestFit="1" customWidth="1"/>
    <col min="11044" max="11045" width="9.140625" style="302"/>
    <col min="11046" max="11046" width="0" style="302" hidden="1" customWidth="1"/>
    <col min="11047" max="11274" width="9.140625" style="302"/>
    <col min="11275" max="11275" width="8.5703125" style="302" customWidth="1"/>
    <col min="11276" max="11276" width="21.140625" style="302" customWidth="1"/>
    <col min="11277" max="11280" width="7" style="302" customWidth="1"/>
    <col min="11281" max="11281" width="7.85546875" style="302" customWidth="1"/>
    <col min="11282" max="11284" width="7" style="302" customWidth="1"/>
    <col min="11285" max="11285" width="13.28515625" style="302" customWidth="1"/>
    <col min="11286" max="11286" width="14" style="302" customWidth="1"/>
    <col min="11287" max="11287" width="17.5703125" style="302" customWidth="1"/>
    <col min="11288" max="11297" width="0" style="302" hidden="1" customWidth="1"/>
    <col min="11298" max="11298" width="2.5703125" style="302" customWidth="1"/>
    <col min="11299" max="11299" width="42.140625" style="302" bestFit="1" customWidth="1"/>
    <col min="11300" max="11301" width="9.140625" style="302"/>
    <col min="11302" max="11302" width="0" style="302" hidden="1" customWidth="1"/>
    <col min="11303" max="11530" width="9.140625" style="302"/>
    <col min="11531" max="11531" width="8.5703125" style="302" customWidth="1"/>
    <col min="11532" max="11532" width="21.140625" style="302" customWidth="1"/>
    <col min="11533" max="11536" width="7" style="302" customWidth="1"/>
    <col min="11537" max="11537" width="7.85546875" style="302" customWidth="1"/>
    <col min="11538" max="11540" width="7" style="302" customWidth="1"/>
    <col min="11541" max="11541" width="13.28515625" style="302" customWidth="1"/>
    <col min="11542" max="11542" width="14" style="302" customWidth="1"/>
    <col min="11543" max="11543" width="17.5703125" style="302" customWidth="1"/>
    <col min="11544" max="11553" width="0" style="302" hidden="1" customWidth="1"/>
    <col min="11554" max="11554" width="2.5703125" style="302" customWidth="1"/>
    <col min="11555" max="11555" width="42.140625" style="302" bestFit="1" customWidth="1"/>
    <col min="11556" max="11557" width="9.140625" style="302"/>
    <col min="11558" max="11558" width="0" style="302" hidden="1" customWidth="1"/>
    <col min="11559" max="11786" width="9.140625" style="302"/>
    <col min="11787" max="11787" width="8.5703125" style="302" customWidth="1"/>
    <col min="11788" max="11788" width="21.140625" style="302" customWidth="1"/>
    <col min="11789" max="11792" width="7" style="302" customWidth="1"/>
    <col min="11793" max="11793" width="7.85546875" style="302" customWidth="1"/>
    <col min="11794" max="11796" width="7" style="302" customWidth="1"/>
    <col min="11797" max="11797" width="13.28515625" style="302" customWidth="1"/>
    <col min="11798" max="11798" width="14" style="302" customWidth="1"/>
    <col min="11799" max="11799" width="17.5703125" style="302" customWidth="1"/>
    <col min="11800" max="11809" width="0" style="302" hidden="1" customWidth="1"/>
    <col min="11810" max="11810" width="2.5703125" style="302" customWidth="1"/>
    <col min="11811" max="11811" width="42.140625" style="302" bestFit="1" customWidth="1"/>
    <col min="11812" max="11813" width="9.140625" style="302"/>
    <col min="11814" max="11814" width="0" style="302" hidden="1" customWidth="1"/>
    <col min="11815" max="12042" width="9.140625" style="302"/>
    <col min="12043" max="12043" width="8.5703125" style="302" customWidth="1"/>
    <col min="12044" max="12044" width="21.140625" style="302" customWidth="1"/>
    <col min="12045" max="12048" width="7" style="302" customWidth="1"/>
    <col min="12049" max="12049" width="7.85546875" style="302" customWidth="1"/>
    <col min="12050" max="12052" width="7" style="302" customWidth="1"/>
    <col min="12053" max="12053" width="13.28515625" style="302" customWidth="1"/>
    <col min="12054" max="12054" width="14" style="302" customWidth="1"/>
    <col min="12055" max="12055" width="17.5703125" style="302" customWidth="1"/>
    <col min="12056" max="12065" width="0" style="302" hidden="1" customWidth="1"/>
    <col min="12066" max="12066" width="2.5703125" style="302" customWidth="1"/>
    <col min="12067" max="12067" width="42.140625" style="302" bestFit="1" customWidth="1"/>
    <col min="12068" max="12069" width="9.140625" style="302"/>
    <col min="12070" max="12070" width="0" style="302" hidden="1" customWidth="1"/>
    <col min="12071" max="12298" width="9.140625" style="302"/>
    <col min="12299" max="12299" width="8.5703125" style="302" customWidth="1"/>
    <col min="12300" max="12300" width="21.140625" style="302" customWidth="1"/>
    <col min="12301" max="12304" width="7" style="302" customWidth="1"/>
    <col min="12305" max="12305" width="7.85546875" style="302" customWidth="1"/>
    <col min="12306" max="12308" width="7" style="302" customWidth="1"/>
    <col min="12309" max="12309" width="13.28515625" style="302" customWidth="1"/>
    <col min="12310" max="12310" width="14" style="302" customWidth="1"/>
    <col min="12311" max="12311" width="17.5703125" style="302" customWidth="1"/>
    <col min="12312" max="12321" width="0" style="302" hidden="1" customWidth="1"/>
    <col min="12322" max="12322" width="2.5703125" style="302" customWidth="1"/>
    <col min="12323" max="12323" width="42.140625" style="302" bestFit="1" customWidth="1"/>
    <col min="12324" max="12325" width="9.140625" style="302"/>
    <col min="12326" max="12326" width="0" style="302" hidden="1" customWidth="1"/>
    <col min="12327" max="12554" width="9.140625" style="302"/>
    <col min="12555" max="12555" width="8.5703125" style="302" customWidth="1"/>
    <col min="12556" max="12556" width="21.140625" style="302" customWidth="1"/>
    <col min="12557" max="12560" width="7" style="302" customWidth="1"/>
    <col min="12561" max="12561" width="7.85546875" style="302" customWidth="1"/>
    <col min="12562" max="12564" width="7" style="302" customWidth="1"/>
    <col min="12565" max="12565" width="13.28515625" style="302" customWidth="1"/>
    <col min="12566" max="12566" width="14" style="302" customWidth="1"/>
    <col min="12567" max="12567" width="17.5703125" style="302" customWidth="1"/>
    <col min="12568" max="12577" width="0" style="302" hidden="1" customWidth="1"/>
    <col min="12578" max="12578" width="2.5703125" style="302" customWidth="1"/>
    <col min="12579" max="12579" width="42.140625" style="302" bestFit="1" customWidth="1"/>
    <col min="12580" max="12581" width="9.140625" style="302"/>
    <col min="12582" max="12582" width="0" style="302" hidden="1" customWidth="1"/>
    <col min="12583" max="12810" width="9.140625" style="302"/>
    <col min="12811" max="12811" width="8.5703125" style="302" customWidth="1"/>
    <col min="12812" max="12812" width="21.140625" style="302" customWidth="1"/>
    <col min="12813" max="12816" width="7" style="302" customWidth="1"/>
    <col min="12817" max="12817" width="7.85546875" style="302" customWidth="1"/>
    <col min="12818" max="12820" width="7" style="302" customWidth="1"/>
    <col min="12821" max="12821" width="13.28515625" style="302" customWidth="1"/>
    <col min="12822" max="12822" width="14" style="302" customWidth="1"/>
    <col min="12823" max="12823" width="17.5703125" style="302" customWidth="1"/>
    <col min="12824" max="12833" width="0" style="302" hidden="1" customWidth="1"/>
    <col min="12834" max="12834" width="2.5703125" style="302" customWidth="1"/>
    <col min="12835" max="12835" width="42.140625" style="302" bestFit="1" customWidth="1"/>
    <col min="12836" max="12837" width="9.140625" style="302"/>
    <col min="12838" max="12838" width="0" style="302" hidden="1" customWidth="1"/>
    <col min="12839" max="13066" width="9.140625" style="302"/>
    <col min="13067" max="13067" width="8.5703125" style="302" customWidth="1"/>
    <col min="13068" max="13068" width="21.140625" style="302" customWidth="1"/>
    <col min="13069" max="13072" width="7" style="302" customWidth="1"/>
    <col min="13073" max="13073" width="7.85546875" style="302" customWidth="1"/>
    <col min="13074" max="13076" width="7" style="302" customWidth="1"/>
    <col min="13077" max="13077" width="13.28515625" style="302" customWidth="1"/>
    <col min="13078" max="13078" width="14" style="302" customWidth="1"/>
    <col min="13079" max="13079" width="17.5703125" style="302" customWidth="1"/>
    <col min="13080" max="13089" width="0" style="302" hidden="1" customWidth="1"/>
    <col min="13090" max="13090" width="2.5703125" style="302" customWidth="1"/>
    <col min="13091" max="13091" width="42.140625" style="302" bestFit="1" customWidth="1"/>
    <col min="13092" max="13093" width="9.140625" style="302"/>
    <col min="13094" max="13094" width="0" style="302" hidden="1" customWidth="1"/>
    <col min="13095" max="13322" width="9.140625" style="302"/>
    <col min="13323" max="13323" width="8.5703125" style="302" customWidth="1"/>
    <col min="13324" max="13324" width="21.140625" style="302" customWidth="1"/>
    <col min="13325" max="13328" width="7" style="302" customWidth="1"/>
    <col min="13329" max="13329" width="7.85546875" style="302" customWidth="1"/>
    <col min="13330" max="13332" width="7" style="302" customWidth="1"/>
    <col min="13333" max="13333" width="13.28515625" style="302" customWidth="1"/>
    <col min="13334" max="13334" width="14" style="302" customWidth="1"/>
    <col min="13335" max="13335" width="17.5703125" style="302" customWidth="1"/>
    <col min="13336" max="13345" width="0" style="302" hidden="1" customWidth="1"/>
    <col min="13346" max="13346" width="2.5703125" style="302" customWidth="1"/>
    <col min="13347" max="13347" width="42.140625" style="302" bestFit="1" customWidth="1"/>
    <col min="13348" max="13349" width="9.140625" style="302"/>
    <col min="13350" max="13350" width="0" style="302" hidden="1" customWidth="1"/>
    <col min="13351" max="13578" width="9.140625" style="302"/>
    <col min="13579" max="13579" width="8.5703125" style="302" customWidth="1"/>
    <col min="13580" max="13580" width="21.140625" style="302" customWidth="1"/>
    <col min="13581" max="13584" width="7" style="302" customWidth="1"/>
    <col min="13585" max="13585" width="7.85546875" style="302" customWidth="1"/>
    <col min="13586" max="13588" width="7" style="302" customWidth="1"/>
    <col min="13589" max="13589" width="13.28515625" style="302" customWidth="1"/>
    <col min="13590" max="13590" width="14" style="302" customWidth="1"/>
    <col min="13591" max="13591" width="17.5703125" style="302" customWidth="1"/>
    <col min="13592" max="13601" width="0" style="302" hidden="1" customWidth="1"/>
    <col min="13602" max="13602" width="2.5703125" style="302" customWidth="1"/>
    <col min="13603" max="13603" width="42.140625" style="302" bestFit="1" customWidth="1"/>
    <col min="13604" max="13605" width="9.140625" style="302"/>
    <col min="13606" max="13606" width="0" style="302" hidden="1" customWidth="1"/>
    <col min="13607" max="13834" width="9.140625" style="302"/>
    <col min="13835" max="13835" width="8.5703125" style="302" customWidth="1"/>
    <col min="13836" max="13836" width="21.140625" style="302" customWidth="1"/>
    <col min="13837" max="13840" width="7" style="302" customWidth="1"/>
    <col min="13841" max="13841" width="7.85546875" style="302" customWidth="1"/>
    <col min="13842" max="13844" width="7" style="302" customWidth="1"/>
    <col min="13845" max="13845" width="13.28515625" style="302" customWidth="1"/>
    <col min="13846" max="13846" width="14" style="302" customWidth="1"/>
    <col min="13847" max="13847" width="17.5703125" style="302" customWidth="1"/>
    <col min="13848" max="13857" width="0" style="302" hidden="1" customWidth="1"/>
    <col min="13858" max="13858" width="2.5703125" style="302" customWidth="1"/>
    <col min="13859" max="13859" width="42.140625" style="302" bestFit="1" customWidth="1"/>
    <col min="13860" max="13861" width="9.140625" style="302"/>
    <col min="13862" max="13862" width="0" style="302" hidden="1" customWidth="1"/>
    <col min="13863" max="14090" width="9.140625" style="302"/>
    <col min="14091" max="14091" width="8.5703125" style="302" customWidth="1"/>
    <col min="14092" max="14092" width="21.140625" style="302" customWidth="1"/>
    <col min="14093" max="14096" width="7" style="302" customWidth="1"/>
    <col min="14097" max="14097" width="7.85546875" style="302" customWidth="1"/>
    <col min="14098" max="14100" width="7" style="302" customWidth="1"/>
    <col min="14101" max="14101" width="13.28515625" style="302" customWidth="1"/>
    <col min="14102" max="14102" width="14" style="302" customWidth="1"/>
    <col min="14103" max="14103" width="17.5703125" style="302" customWidth="1"/>
    <col min="14104" max="14113" width="0" style="302" hidden="1" customWidth="1"/>
    <col min="14114" max="14114" width="2.5703125" style="302" customWidth="1"/>
    <col min="14115" max="14115" width="42.140625" style="302" bestFit="1" customWidth="1"/>
    <col min="14116" max="14117" width="9.140625" style="302"/>
    <col min="14118" max="14118" width="0" style="302" hidden="1" customWidth="1"/>
    <col min="14119" max="14346" width="9.140625" style="302"/>
    <col min="14347" max="14347" width="8.5703125" style="302" customWidth="1"/>
    <col min="14348" max="14348" width="21.140625" style="302" customWidth="1"/>
    <col min="14349" max="14352" width="7" style="302" customWidth="1"/>
    <col min="14353" max="14353" width="7.85546875" style="302" customWidth="1"/>
    <col min="14354" max="14356" width="7" style="302" customWidth="1"/>
    <col min="14357" max="14357" width="13.28515625" style="302" customWidth="1"/>
    <col min="14358" max="14358" width="14" style="302" customWidth="1"/>
    <col min="14359" max="14359" width="17.5703125" style="302" customWidth="1"/>
    <col min="14360" max="14369" width="0" style="302" hidden="1" customWidth="1"/>
    <col min="14370" max="14370" width="2.5703125" style="302" customWidth="1"/>
    <col min="14371" max="14371" width="42.140625" style="302" bestFit="1" customWidth="1"/>
    <col min="14372" max="14373" width="9.140625" style="302"/>
    <col min="14374" max="14374" width="0" style="302" hidden="1" customWidth="1"/>
    <col min="14375" max="14602" width="9.140625" style="302"/>
    <col min="14603" max="14603" width="8.5703125" style="302" customWidth="1"/>
    <col min="14604" max="14604" width="21.140625" style="302" customWidth="1"/>
    <col min="14605" max="14608" width="7" style="302" customWidth="1"/>
    <col min="14609" max="14609" width="7.85546875" style="302" customWidth="1"/>
    <col min="14610" max="14612" width="7" style="302" customWidth="1"/>
    <col min="14613" max="14613" width="13.28515625" style="302" customWidth="1"/>
    <col min="14614" max="14614" width="14" style="302" customWidth="1"/>
    <col min="14615" max="14615" width="17.5703125" style="302" customWidth="1"/>
    <col min="14616" max="14625" width="0" style="302" hidden="1" customWidth="1"/>
    <col min="14626" max="14626" width="2.5703125" style="302" customWidth="1"/>
    <col min="14627" max="14627" width="42.140625" style="302" bestFit="1" customWidth="1"/>
    <col min="14628" max="14629" width="9.140625" style="302"/>
    <col min="14630" max="14630" width="0" style="302" hidden="1" customWidth="1"/>
    <col min="14631" max="14858" width="9.140625" style="302"/>
    <col min="14859" max="14859" width="8.5703125" style="302" customWidth="1"/>
    <col min="14860" max="14860" width="21.140625" style="302" customWidth="1"/>
    <col min="14861" max="14864" width="7" style="302" customWidth="1"/>
    <col min="14865" max="14865" width="7.85546875" style="302" customWidth="1"/>
    <col min="14866" max="14868" width="7" style="302" customWidth="1"/>
    <col min="14869" max="14869" width="13.28515625" style="302" customWidth="1"/>
    <col min="14870" max="14870" width="14" style="302" customWidth="1"/>
    <col min="14871" max="14871" width="17.5703125" style="302" customWidth="1"/>
    <col min="14872" max="14881" width="0" style="302" hidden="1" customWidth="1"/>
    <col min="14882" max="14882" width="2.5703125" style="302" customWidth="1"/>
    <col min="14883" max="14883" width="42.140625" style="302" bestFit="1" customWidth="1"/>
    <col min="14884" max="14885" width="9.140625" style="302"/>
    <col min="14886" max="14886" width="0" style="302" hidden="1" customWidth="1"/>
    <col min="14887" max="15114" width="9.140625" style="302"/>
    <col min="15115" max="15115" width="8.5703125" style="302" customWidth="1"/>
    <col min="15116" max="15116" width="21.140625" style="302" customWidth="1"/>
    <col min="15117" max="15120" width="7" style="302" customWidth="1"/>
    <col min="15121" max="15121" width="7.85546875" style="302" customWidth="1"/>
    <col min="15122" max="15124" width="7" style="302" customWidth="1"/>
    <col min="15125" max="15125" width="13.28515625" style="302" customWidth="1"/>
    <col min="15126" max="15126" width="14" style="302" customWidth="1"/>
    <col min="15127" max="15127" width="17.5703125" style="302" customWidth="1"/>
    <col min="15128" max="15137" width="0" style="302" hidden="1" customWidth="1"/>
    <col min="15138" max="15138" width="2.5703125" style="302" customWidth="1"/>
    <col min="15139" max="15139" width="42.140625" style="302" bestFit="1" customWidth="1"/>
    <col min="15140" max="15141" width="9.140625" style="302"/>
    <col min="15142" max="15142" width="0" style="302" hidden="1" customWidth="1"/>
    <col min="15143" max="15370" width="9.140625" style="302"/>
    <col min="15371" max="15371" width="8.5703125" style="302" customWidth="1"/>
    <col min="15372" max="15372" width="21.140625" style="302" customWidth="1"/>
    <col min="15373" max="15376" width="7" style="302" customWidth="1"/>
    <col min="15377" max="15377" width="7.85546875" style="302" customWidth="1"/>
    <col min="15378" max="15380" width="7" style="302" customWidth="1"/>
    <col min="15381" max="15381" width="13.28515625" style="302" customWidth="1"/>
    <col min="15382" max="15382" width="14" style="302" customWidth="1"/>
    <col min="15383" max="15383" width="17.5703125" style="302" customWidth="1"/>
    <col min="15384" max="15393" width="0" style="302" hidden="1" customWidth="1"/>
    <col min="15394" max="15394" width="2.5703125" style="302" customWidth="1"/>
    <col min="15395" max="15395" width="42.140625" style="302" bestFit="1" customWidth="1"/>
    <col min="15396" max="15397" width="9.140625" style="302"/>
    <col min="15398" max="15398" width="0" style="302" hidden="1" customWidth="1"/>
    <col min="15399" max="15626" width="9.140625" style="302"/>
    <col min="15627" max="15627" width="8.5703125" style="302" customWidth="1"/>
    <col min="15628" max="15628" width="21.140625" style="302" customWidth="1"/>
    <col min="15629" max="15632" width="7" style="302" customWidth="1"/>
    <col min="15633" max="15633" width="7.85546875" style="302" customWidth="1"/>
    <col min="15634" max="15636" width="7" style="302" customWidth="1"/>
    <col min="15637" max="15637" width="13.28515625" style="302" customWidth="1"/>
    <col min="15638" max="15638" width="14" style="302" customWidth="1"/>
    <col min="15639" max="15639" width="17.5703125" style="302" customWidth="1"/>
    <col min="15640" max="15649" width="0" style="302" hidden="1" customWidth="1"/>
    <col min="15650" max="15650" width="2.5703125" style="302" customWidth="1"/>
    <col min="15651" max="15651" width="42.140625" style="302" bestFit="1" customWidth="1"/>
    <col min="15652" max="15653" width="9.140625" style="302"/>
    <col min="15654" max="15654" width="0" style="302" hidden="1" customWidth="1"/>
    <col min="15655" max="15882" width="9.140625" style="302"/>
    <col min="15883" max="15883" width="8.5703125" style="302" customWidth="1"/>
    <col min="15884" max="15884" width="21.140625" style="302" customWidth="1"/>
    <col min="15885" max="15888" width="7" style="302" customWidth="1"/>
    <col min="15889" max="15889" width="7.85546875" style="302" customWidth="1"/>
    <col min="15890" max="15892" width="7" style="302" customWidth="1"/>
    <col min="15893" max="15893" width="13.28515625" style="302" customWidth="1"/>
    <col min="15894" max="15894" width="14" style="302" customWidth="1"/>
    <col min="15895" max="15895" width="17.5703125" style="302" customWidth="1"/>
    <col min="15896" max="15905" width="0" style="302" hidden="1" customWidth="1"/>
    <col min="15906" max="15906" width="2.5703125" style="302" customWidth="1"/>
    <col min="15907" max="15907" width="42.140625" style="302" bestFit="1" customWidth="1"/>
    <col min="15908" max="15909" width="9.140625" style="302"/>
    <col min="15910" max="15910" width="0" style="302" hidden="1" customWidth="1"/>
    <col min="15911" max="16138" width="9.140625" style="302"/>
    <col min="16139" max="16139" width="8.5703125" style="302" customWidth="1"/>
    <col min="16140" max="16140" width="21.140625" style="302" customWidth="1"/>
    <col min="16141" max="16144" width="7" style="302" customWidth="1"/>
    <col min="16145" max="16145" width="7.85546875" style="302" customWidth="1"/>
    <col min="16146" max="16148" width="7" style="302" customWidth="1"/>
    <col min="16149" max="16149" width="13.28515625" style="302" customWidth="1"/>
    <col min="16150" max="16150" width="14" style="302" customWidth="1"/>
    <col min="16151" max="16151" width="17.5703125" style="302" customWidth="1"/>
    <col min="16152" max="16161" width="0" style="302" hidden="1" customWidth="1"/>
    <col min="16162" max="16162" width="2.5703125" style="302" customWidth="1"/>
    <col min="16163" max="16163" width="42.140625" style="302" bestFit="1" customWidth="1"/>
    <col min="16164" max="16165" width="9.140625" style="302"/>
    <col min="16166" max="16166" width="0" style="302" hidden="1" customWidth="1"/>
    <col min="16167" max="16384" width="9.140625" style="302"/>
  </cols>
  <sheetData>
    <row r="1" spans="1:53" ht="17.25" outlineLevel="1" thickTop="1" thickBot="1">
      <c r="E1" s="620" t="str">
        <f>פרמטרים!B1</f>
        <v>שנת התקציב</v>
      </c>
      <c r="F1" s="621"/>
      <c r="G1" s="299">
        <f>פרמטרים!D1</f>
        <v>2018</v>
      </c>
    </row>
    <row r="2" spans="1:53" ht="16.5" outlineLevel="1" thickBot="1">
      <c r="E2" s="622" t="str">
        <f>פרמטרים!B2</f>
        <v>תקציב</v>
      </c>
      <c r="F2" s="623"/>
      <c r="G2" s="300">
        <f>פרמטרים!D2</f>
        <v>98822015</v>
      </c>
    </row>
    <row r="3" spans="1:53" ht="17.25" thickTop="1" thickBot="1">
      <c r="A3" s="359" t="str">
        <f ca="1">"שיעור יחסי במשתנה "&amp;MID(CELL("filename",AN12),FIND("]",CELL("filename",AN12),1)+1,99)</f>
        <v>שיעור יחסי במשתנה מיקום ההרצות</v>
      </c>
      <c r="B3" s="360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>
        <v>1.1000000000000001</v>
      </c>
      <c r="W3" s="361"/>
      <c r="X3" s="360"/>
      <c r="Y3" s="360"/>
      <c r="Z3" s="362"/>
      <c r="AL3" s="638" t="s">
        <v>45</v>
      </c>
      <c r="AM3" s="639"/>
      <c r="AN3" s="640"/>
      <c r="AR3" s="303"/>
    </row>
    <row r="4" spans="1:53" ht="17.25" thickTop="1" thickBot="1">
      <c r="A4" s="304"/>
      <c r="B4" s="305"/>
      <c r="C4" s="641" t="s">
        <v>240</v>
      </c>
      <c r="D4" s="642"/>
      <c r="E4" s="643"/>
      <c r="F4" s="644" t="s">
        <v>241</v>
      </c>
      <c r="G4" s="645"/>
      <c r="H4" s="645"/>
      <c r="I4" s="645"/>
      <c r="J4" s="645"/>
      <c r="K4" s="645"/>
      <c r="L4" s="645"/>
      <c r="M4" s="646"/>
      <c r="N4" s="644" t="s">
        <v>242</v>
      </c>
      <c r="O4" s="645"/>
      <c r="P4" s="645"/>
      <c r="Q4" s="645"/>
      <c r="R4" s="645"/>
      <c r="S4" s="645"/>
      <c r="T4" s="645"/>
      <c r="U4" s="646"/>
      <c r="V4" s="306" t="s">
        <v>243</v>
      </c>
      <c r="W4" s="307"/>
      <c r="X4" s="305"/>
      <c r="Y4" s="305"/>
      <c r="Z4" s="308"/>
      <c r="AL4" s="647" t="s">
        <v>292</v>
      </c>
      <c r="AM4" s="648"/>
      <c r="AN4" s="649"/>
      <c r="AR4" s="303"/>
    </row>
    <row r="5" spans="1:53" ht="37.5" customHeight="1" thickTop="1" thickBot="1">
      <c r="A5" s="309" t="s">
        <v>23</v>
      </c>
      <c r="B5" s="310" t="str">
        <f>'מיקום התיאטרון'!B10</f>
        <v>שם התיאטרון</v>
      </c>
      <c r="C5" s="398" t="s">
        <v>326</v>
      </c>
      <c r="D5" s="398" t="s">
        <v>325</v>
      </c>
      <c r="E5" s="398" t="s">
        <v>324</v>
      </c>
      <c r="F5" s="399" t="s">
        <v>54</v>
      </c>
      <c r="G5" s="400" t="s">
        <v>55</v>
      </c>
      <c r="H5" s="400" t="s">
        <v>56</v>
      </c>
      <c r="I5" s="400" t="s">
        <v>57</v>
      </c>
      <c r="J5" s="400" t="s">
        <v>58</v>
      </c>
      <c r="K5" s="400" t="s">
        <v>59</v>
      </c>
      <c r="L5" s="400" t="s">
        <v>60</v>
      </c>
      <c r="M5" s="401" t="s">
        <v>61</v>
      </c>
      <c r="N5" s="399" t="s">
        <v>244</v>
      </c>
      <c r="O5" s="400" t="s">
        <v>245</v>
      </c>
      <c r="P5" s="400" t="s">
        <v>246</v>
      </c>
      <c r="Q5" s="400" t="s">
        <v>247</v>
      </c>
      <c r="R5" s="400" t="s">
        <v>248</v>
      </c>
      <c r="S5" s="400" t="s">
        <v>249</v>
      </c>
      <c r="T5" s="400" t="s">
        <v>250</v>
      </c>
      <c r="U5" s="401" t="s">
        <v>251</v>
      </c>
      <c r="V5" s="402" t="s">
        <v>291</v>
      </c>
      <c r="W5" s="311" t="s">
        <v>252</v>
      </c>
      <c r="X5" s="312" t="s">
        <v>150</v>
      </c>
      <c r="Y5" s="312" t="str">
        <f ca="1">"ניקוד "&amp;MID(CELL("filename",Y10),FIND("]",CELL("filename",Y10),1)+1,99)</f>
        <v>ניקוד מיקום ההרצות</v>
      </c>
      <c r="Z5" s="313" t="s">
        <v>154</v>
      </c>
      <c r="AL5" s="411" t="str">
        <f>פרמטרים!A25</f>
        <v>מיקום וסיווג</v>
      </c>
      <c r="AM5" s="412" t="str">
        <f>פרמטרים!B25</f>
        <v>סימול</v>
      </c>
      <c r="AN5" s="413" t="str">
        <f>פרמטרים!C25</f>
        <v>ניקוד</v>
      </c>
      <c r="AO5" s="302" t="s">
        <v>253</v>
      </c>
      <c r="AP5" s="302" t="s">
        <v>254</v>
      </c>
      <c r="AR5" s="303"/>
      <c r="AT5" s="314" t="str">
        <f>C5</f>
        <v>נמנע  מלקיים פעילות ביהודה ושומרון (0/1)</v>
      </c>
      <c r="AU5" s="314" t="str">
        <f>D5</f>
        <v>נמנע  מלקיים פעילות בנגב (0/1)</v>
      </c>
      <c r="AV5" s="314" t="str">
        <f>E5</f>
        <v>נמנע  מלקיים פעילות בגליל (0/1)</v>
      </c>
      <c r="AW5" s="314" t="s">
        <v>255</v>
      </c>
      <c r="AX5" s="302" t="s">
        <v>256</v>
      </c>
      <c r="AZ5" s="302">
        <v>1</v>
      </c>
      <c r="BA5" s="302">
        <v>0</v>
      </c>
    </row>
    <row r="6" spans="1:53" ht="15.75">
      <c r="A6" s="78">
        <f>'מיקום התיאטרון'!A11</f>
        <v>1</v>
      </c>
      <c r="B6" s="403" t="str">
        <f>'מיקום התיאטרון'!B11</f>
        <v>הבימה</v>
      </c>
      <c r="C6" s="315">
        <v>0</v>
      </c>
      <c r="D6" s="315">
        <v>0</v>
      </c>
      <c r="E6" s="315">
        <v>0</v>
      </c>
      <c r="F6" s="520">
        <v>73</v>
      </c>
      <c r="G6" s="520">
        <v>2</v>
      </c>
      <c r="H6" s="520">
        <v>14</v>
      </c>
      <c r="I6" s="520">
        <v>21</v>
      </c>
      <c r="J6" s="520">
        <v>48</v>
      </c>
      <c r="K6" s="520">
        <v>27</v>
      </c>
      <c r="L6" s="520">
        <v>51</v>
      </c>
      <c r="M6" s="520">
        <v>20</v>
      </c>
      <c r="N6" s="520">
        <v>842</v>
      </c>
      <c r="O6" s="520">
        <v>0</v>
      </c>
      <c r="P6" s="520">
        <v>0</v>
      </c>
      <c r="Q6" s="520">
        <v>0</v>
      </c>
      <c r="R6" s="520">
        <v>0</v>
      </c>
      <c r="S6" s="520">
        <v>0</v>
      </c>
      <c r="T6" s="520">
        <v>0</v>
      </c>
      <c r="U6" s="520">
        <v>0</v>
      </c>
      <c r="V6" s="404">
        <v>1</v>
      </c>
      <c r="W6" s="543">
        <f t="shared" ref="W6:W38" si="0">IF(B6="","",IF(V6&gt;=1,1,0))</f>
        <v>1</v>
      </c>
      <c r="X6" s="316">
        <f>'מיקום התיאטרון'!G11</f>
        <v>1</v>
      </c>
      <c r="Y6" s="338">
        <f t="array" ref="Y6">IFERROR(IF(AI6&lt;&gt;1,"",MAX(0,(AX6*((SUMPRODUCT(F6:M6,TRANSPOSE(AN$6:AN$13))+SUMPRODUCT(N6:U6,TRANSPOSE(AN$20:AN$27)))*X6)))*(1-SUM(C6:E6)/3)),"")</f>
        <v>294.25</v>
      </c>
      <c r="Z6" s="317">
        <f t="shared" ref="Z6:Z38" si="1">IF(ISERR(Y6/$Y$39),"",Y6/$Y$39)</f>
        <v>3.5497751155637275E-2</v>
      </c>
      <c r="AA6" s="302">
        <f t="shared" ref="AA6" si="2">IF(OR($B6="",ISERR(F6/3)),0,IF(OR(F6&lt;0,F6&lt;&gt;ROUND(F6,0)),0,1))</f>
        <v>1</v>
      </c>
      <c r="AB6" s="302">
        <f t="shared" ref="AB6" si="3">IF(OR($B6="",ISERR(G6/3)),0,IF(OR(G6&lt;0,G6&lt;&gt;ROUND(G6,0)),0,1))</f>
        <v>1</v>
      </c>
      <c r="AC6" s="302">
        <f t="shared" ref="AC6" si="4">IF(OR($B6="",ISERR(H6/3)),0,IF(OR(H6&lt;0,H6&lt;&gt;ROUND(H6,0)),0,1))</f>
        <v>1</v>
      </c>
      <c r="AD6" s="302">
        <f t="shared" ref="AD6" si="5">IF(OR($B6="",ISERR(I6/3)),0,IF(OR(I6&lt;0,I6&lt;&gt;ROUND(I6,0)),0,1))</f>
        <v>1</v>
      </c>
      <c r="AE6" s="302">
        <f t="shared" ref="AE6" si="6">IF(OR($B6="",ISERR(J6/3)),0,IF(OR(J6&lt;0,J6&lt;&gt;ROUND(J6,0)),0,1))</f>
        <v>1</v>
      </c>
      <c r="AF6" s="302">
        <f t="shared" ref="AF6" si="7">IF(OR($B6="",ISERR(K6/3)),0,IF(OR(K6&lt;0,K6&lt;&gt;ROUND(K6,0)),0,1))</f>
        <v>1</v>
      </c>
      <c r="AG6" s="302">
        <f t="shared" ref="AG6" si="8">IF(OR($B6="",ISERR(L6/3)),0,IF(OR(L6&lt;0,L6&lt;&gt;ROUND(L6,0)),0,1))</f>
        <v>1</v>
      </c>
      <c r="AH6" s="302">
        <f t="shared" ref="AH6" si="9">IF(OR($B6="",ISERR(M6/3)),0,IF(OR(M6&lt;0,M6&lt;&gt;ROUND(M6,0)),0,1))</f>
        <v>1</v>
      </c>
      <c r="AI6" s="302">
        <f t="array" ref="AI6">IF(OR(AA6:AH6&lt;&gt;1),0,1)</f>
        <v>1</v>
      </c>
      <c r="AJ6" s="318">
        <f t="shared" ref="AJ6:AJ38" si="10">SUM(F6:M6)</f>
        <v>256</v>
      </c>
      <c r="AL6" s="330" t="str">
        <f>פרמטרים!A27</f>
        <v>תל אביב והסביבה - סיווג 1</v>
      </c>
      <c r="AM6" s="321" t="str">
        <f>פרמטרים!B27</f>
        <v>A1</v>
      </c>
      <c r="AN6" s="331">
        <f>פרמטרים!C27</f>
        <v>0</v>
      </c>
      <c r="AO6" s="302" t="str">
        <f>IF($B6="","",AO$5)</f>
        <v>המוסד זכאי לתוספת</v>
      </c>
      <c r="AP6" s="302" t="str">
        <f t="shared" ref="AP6:AP27" si="11">IF($B6="","",AP$5)</f>
        <v>המוסד נמנע מקיום הרצות ולכן יש להפחית מניקודו</v>
      </c>
      <c r="AR6" s="303"/>
      <c r="AT6" s="302">
        <f t="shared" ref="AT6" si="12">IF(C6=$AP$5,1,0)</f>
        <v>0</v>
      </c>
      <c r="AU6" s="302">
        <f t="shared" ref="AU6" si="13">IF(D6=$AP$5,1,0)</f>
        <v>0</v>
      </c>
      <c r="AV6" s="302">
        <f t="shared" ref="AV6" si="14">IF(E6=$AP$5,1,0)</f>
        <v>0</v>
      </c>
      <c r="AW6" s="302">
        <f>IF(B6="","",IF(OR(V6="",V6=0),1,W6*$AM$14))</f>
        <v>1.1000000000000001</v>
      </c>
      <c r="AX6" s="320">
        <f>IF(B6="","",AW6)</f>
        <v>1.1000000000000001</v>
      </c>
      <c r="AZ6" s="302">
        <f>IF($B6="","",AZ$5)</f>
        <v>1</v>
      </c>
      <c r="BA6" s="302">
        <f>IF($B6="","",BA$5)</f>
        <v>0</v>
      </c>
    </row>
    <row r="7" spans="1:53" ht="15.75">
      <c r="A7" s="78">
        <f>'מיקום התיאטרון'!A12</f>
        <v>2</v>
      </c>
      <c r="B7" s="403" t="str">
        <f>'מיקום התיאטרון'!B12</f>
        <v>הקאמרי</v>
      </c>
      <c r="C7" s="315">
        <v>0</v>
      </c>
      <c r="D7" s="315">
        <v>0</v>
      </c>
      <c r="E7" s="315">
        <v>0</v>
      </c>
      <c r="F7" s="520">
        <v>191</v>
      </c>
      <c r="G7" s="520">
        <v>7</v>
      </c>
      <c r="H7" s="520">
        <v>56</v>
      </c>
      <c r="I7" s="520">
        <v>72</v>
      </c>
      <c r="J7" s="520">
        <v>131</v>
      </c>
      <c r="K7" s="520">
        <v>59</v>
      </c>
      <c r="L7" s="520">
        <v>55</v>
      </c>
      <c r="M7" s="520">
        <v>66</v>
      </c>
      <c r="N7" s="520">
        <v>934</v>
      </c>
      <c r="O7" s="520">
        <v>0</v>
      </c>
      <c r="P7" s="520">
        <v>0</v>
      </c>
      <c r="Q7" s="520">
        <v>0</v>
      </c>
      <c r="R7" s="520">
        <v>0</v>
      </c>
      <c r="S7" s="520">
        <v>0</v>
      </c>
      <c r="T7" s="520">
        <v>0</v>
      </c>
      <c r="U7" s="520">
        <v>0</v>
      </c>
      <c r="V7" s="404">
        <v>1</v>
      </c>
      <c r="W7" s="543">
        <f t="shared" si="0"/>
        <v>1</v>
      </c>
      <c r="X7" s="316">
        <f>'מיקום התיאטרון'!G12</f>
        <v>1</v>
      </c>
      <c r="Y7" s="338">
        <f t="array" ref="Y7">IFERROR(IF(AI7&lt;&gt;1,"",MAX(0,(AX7*((SUMPRODUCT(F7:M7,TRANSPOSE(AN$6:AN$13))+SUMPRODUCT(N7:U7,TRANSPOSE(AN$20:AN$27)))*X7)))*(1-SUM(C7:E7)/3)),"")</f>
        <v>696.30000000000007</v>
      </c>
      <c r="Z7" s="317">
        <f t="shared" si="1"/>
        <v>8.4000285912218309E-2</v>
      </c>
      <c r="AA7" s="302">
        <f t="shared" ref="AA7:AA38" si="15">IF(OR($B7="",ISERR(F7/3)),0,IF(OR(F7&lt;0,F7&lt;&gt;ROUND(F7,0)),0,1))</f>
        <v>1</v>
      </c>
      <c r="AB7" s="302">
        <f t="shared" ref="AB7:AB38" si="16">IF(OR($B7="",ISERR(G7/3)),0,IF(OR(G7&lt;0,G7&lt;&gt;ROUND(G7,0)),0,1))</f>
        <v>1</v>
      </c>
      <c r="AC7" s="302">
        <f t="shared" ref="AC7:AC38" si="17">IF(OR($B7="",ISERR(H7/3)),0,IF(OR(H7&lt;0,H7&lt;&gt;ROUND(H7,0)),0,1))</f>
        <v>1</v>
      </c>
      <c r="AD7" s="302">
        <f t="shared" ref="AD7:AD38" si="18">IF(OR($B7="",ISERR(I7/3)),0,IF(OR(I7&lt;0,I7&lt;&gt;ROUND(I7,0)),0,1))</f>
        <v>1</v>
      </c>
      <c r="AE7" s="302">
        <f t="shared" ref="AE7:AE38" si="19">IF(OR($B7="",ISERR(J7/3)),0,IF(OR(J7&lt;0,J7&lt;&gt;ROUND(J7,0)),0,1))</f>
        <v>1</v>
      </c>
      <c r="AF7" s="302">
        <f t="shared" ref="AF7:AF38" si="20">IF(OR($B7="",ISERR(K7/3)),0,IF(OR(K7&lt;0,K7&lt;&gt;ROUND(K7,0)),0,1))</f>
        <v>1</v>
      </c>
      <c r="AG7" s="302">
        <f t="shared" ref="AG7:AG38" si="21">IF(OR($B7="",ISERR(L7/3)),0,IF(OR(L7&lt;0,L7&lt;&gt;ROUND(L7,0)),0,1))</f>
        <v>1</v>
      </c>
      <c r="AH7" s="302">
        <f t="shared" ref="AH7:AH38" si="22">IF(OR($B7="",ISERR(M7/3)),0,IF(OR(M7&lt;0,M7&lt;&gt;ROUND(M7,0)),0,1))</f>
        <v>1</v>
      </c>
      <c r="AI7" s="302">
        <f t="array" ref="AI7">IF(OR(AA7:AH7&lt;&gt;1),0,1)</f>
        <v>1</v>
      </c>
      <c r="AJ7" s="318">
        <f t="shared" si="10"/>
        <v>637</v>
      </c>
      <c r="AL7" s="330" t="str">
        <f>פרמטרים!A28</f>
        <v>תל אביב והסביבה - סיווג 2</v>
      </c>
      <c r="AM7" s="321" t="str">
        <f>פרמטרים!B28</f>
        <v>A2</v>
      </c>
      <c r="AN7" s="331">
        <f>פרמטרים!C28</f>
        <v>0.5</v>
      </c>
      <c r="AO7" s="302" t="str">
        <f t="shared" ref="AO7:AP38" si="23">IF($B7="","",AO$5)</f>
        <v>המוסד זכאי לתוספת</v>
      </c>
      <c r="AP7" s="302" t="str">
        <f t="shared" si="11"/>
        <v>המוסד נמנע מקיום הרצות ולכן יש להפחית מניקודו</v>
      </c>
      <c r="AR7" s="303"/>
      <c r="AT7" s="302">
        <f t="shared" ref="AT7:AT38" si="24">IF(C7=$AP$5,1,0)</f>
        <v>0</v>
      </c>
      <c r="AU7" s="302">
        <f t="shared" ref="AU7:AU38" si="25">IF(D7=$AP$5,1,0)</f>
        <v>0</v>
      </c>
      <c r="AV7" s="302">
        <f t="shared" ref="AV7:AV38" si="26">IF(E7=$AP$5,1,0)</f>
        <v>0</v>
      </c>
      <c r="AW7" s="302">
        <f t="shared" ref="AW7:AW38" si="27">IF(B7="","",IF(OR(V7="",V7=0),1,W7*$AM$14))</f>
        <v>1.1000000000000001</v>
      </c>
      <c r="AX7" s="320">
        <f t="shared" ref="AX7:AX38" si="28">IF(B7="","",AW7)</f>
        <v>1.1000000000000001</v>
      </c>
      <c r="AZ7" s="302">
        <f t="shared" ref="AZ7:BA38" si="29">IF($B7="","",AZ$5)</f>
        <v>1</v>
      </c>
      <c r="BA7" s="302">
        <f t="shared" si="29"/>
        <v>0</v>
      </c>
    </row>
    <row r="8" spans="1:53" ht="15.75">
      <c r="A8" s="78">
        <f>'מיקום התיאטרון'!A13</f>
        <v>3</v>
      </c>
      <c r="B8" s="403" t="str">
        <f>'מיקום התיאטרון'!B13</f>
        <v>בית לסין</v>
      </c>
      <c r="C8" s="315">
        <v>0</v>
      </c>
      <c r="D8" s="315">
        <v>0</v>
      </c>
      <c r="E8" s="315">
        <v>0</v>
      </c>
      <c r="F8" s="520">
        <v>236</v>
      </c>
      <c r="G8" s="520">
        <v>9</v>
      </c>
      <c r="H8" s="520">
        <v>59</v>
      </c>
      <c r="I8" s="520">
        <v>68</v>
      </c>
      <c r="J8" s="520">
        <v>136</v>
      </c>
      <c r="K8" s="520">
        <v>59</v>
      </c>
      <c r="L8" s="520">
        <v>50</v>
      </c>
      <c r="M8" s="520">
        <v>76</v>
      </c>
      <c r="N8" s="520">
        <v>587</v>
      </c>
      <c r="O8" s="520">
        <v>0</v>
      </c>
      <c r="P8" s="520">
        <v>0</v>
      </c>
      <c r="Q8" s="520">
        <v>0</v>
      </c>
      <c r="R8" s="520">
        <v>0</v>
      </c>
      <c r="S8" s="520">
        <v>0</v>
      </c>
      <c r="T8" s="520">
        <v>0</v>
      </c>
      <c r="U8" s="520">
        <v>0</v>
      </c>
      <c r="V8" s="404">
        <v>1</v>
      </c>
      <c r="W8" s="543">
        <f t="shared" si="0"/>
        <v>1</v>
      </c>
      <c r="X8" s="316">
        <f>'מיקום התיאטרון'!G13</f>
        <v>1</v>
      </c>
      <c r="Y8" s="338">
        <f t="array" ref="Y8">IFERROR(IF(AI8&lt;&gt;1,"",MAX(0,(AX8*((SUMPRODUCT(F8:M8,TRANSPOSE(AN$6:AN$13))+SUMPRODUCT(N8:U8,TRANSPOSE(AN$20:AN$27)))*X8)))*(1-SUM(C8:E8)/3)),"")</f>
        <v>724.90000000000009</v>
      </c>
      <c r="Z8" s="317">
        <f t="shared" si="1"/>
        <v>8.7450534622672771E-2</v>
      </c>
      <c r="AA8" s="302">
        <f t="shared" si="15"/>
        <v>1</v>
      </c>
      <c r="AB8" s="302">
        <f t="shared" si="16"/>
        <v>1</v>
      </c>
      <c r="AC8" s="302">
        <f t="shared" si="17"/>
        <v>1</v>
      </c>
      <c r="AD8" s="302">
        <f t="shared" si="18"/>
        <v>1</v>
      </c>
      <c r="AE8" s="302">
        <f t="shared" si="19"/>
        <v>1</v>
      </c>
      <c r="AF8" s="302">
        <f t="shared" si="20"/>
        <v>1</v>
      </c>
      <c r="AG8" s="302">
        <f t="shared" si="21"/>
        <v>1</v>
      </c>
      <c r="AH8" s="302">
        <f t="shared" si="22"/>
        <v>1</v>
      </c>
      <c r="AI8" s="302">
        <f t="array" ref="AI8">IF(OR(AA8:AH8&lt;&gt;1),0,1)</f>
        <v>1</v>
      </c>
      <c r="AJ8" s="318">
        <f t="shared" si="10"/>
        <v>693</v>
      </c>
      <c r="AL8" s="332" t="str">
        <f>פרמטרים!A29</f>
        <v>30 עד 59 ק"מ מתל אביב  (נתניה, חדרה, יבנה, גדרה) - סיווג 1</v>
      </c>
      <c r="AM8" s="321" t="str">
        <f>פרמטרים!B29</f>
        <v>B1</v>
      </c>
      <c r="AN8" s="331">
        <f>פרמטרים!C29</f>
        <v>0.5</v>
      </c>
      <c r="AO8" s="302" t="str">
        <f t="shared" si="23"/>
        <v>המוסד זכאי לתוספת</v>
      </c>
      <c r="AP8" s="302" t="str">
        <f t="shared" si="11"/>
        <v>המוסד נמנע מקיום הרצות ולכן יש להפחית מניקודו</v>
      </c>
      <c r="AR8" s="303"/>
      <c r="AT8" s="302">
        <f t="shared" si="24"/>
        <v>0</v>
      </c>
      <c r="AU8" s="302">
        <f t="shared" si="25"/>
        <v>0</v>
      </c>
      <c r="AV8" s="302">
        <f t="shared" si="26"/>
        <v>0</v>
      </c>
      <c r="AW8" s="302">
        <f t="shared" si="27"/>
        <v>1.1000000000000001</v>
      </c>
      <c r="AX8" s="320">
        <f t="shared" si="28"/>
        <v>1.1000000000000001</v>
      </c>
      <c r="AZ8" s="302">
        <f t="shared" si="29"/>
        <v>1</v>
      </c>
      <c r="BA8" s="302">
        <f t="shared" si="29"/>
        <v>0</v>
      </c>
    </row>
    <row r="9" spans="1:53" ht="15.75">
      <c r="A9" s="78">
        <f>'מיקום התיאטרון'!A14</f>
        <v>4</v>
      </c>
      <c r="B9" s="403" t="str">
        <f>'מיקום התיאטרון'!B14</f>
        <v>חיפה</v>
      </c>
      <c r="C9" s="315">
        <v>0</v>
      </c>
      <c r="D9" s="315">
        <v>0</v>
      </c>
      <c r="E9" s="315">
        <v>0</v>
      </c>
      <c r="F9" s="521">
        <v>15</v>
      </c>
      <c r="G9" s="521">
        <v>2</v>
      </c>
      <c r="H9" s="521">
        <v>18</v>
      </c>
      <c r="I9" s="521">
        <v>30</v>
      </c>
      <c r="J9" s="522">
        <v>44</v>
      </c>
      <c r="K9" s="522">
        <v>8</v>
      </c>
      <c r="L9" s="522">
        <v>51</v>
      </c>
      <c r="M9" s="521">
        <v>44</v>
      </c>
      <c r="N9" s="520">
        <v>0</v>
      </c>
      <c r="O9" s="520">
        <v>0</v>
      </c>
      <c r="P9" s="520">
        <v>0</v>
      </c>
      <c r="Q9" s="520">
        <v>0</v>
      </c>
      <c r="R9" s="520">
        <v>205</v>
      </c>
      <c r="S9" s="520">
        <v>0</v>
      </c>
      <c r="T9" s="520">
        <v>0</v>
      </c>
      <c r="U9" s="520">
        <v>0</v>
      </c>
      <c r="V9" s="404">
        <v>0</v>
      </c>
      <c r="W9" s="543">
        <f t="shared" si="0"/>
        <v>0</v>
      </c>
      <c r="X9" s="316">
        <f>'מיקום התיאטרון'!G14</f>
        <v>0.8</v>
      </c>
      <c r="Y9" s="338">
        <f t="array" ref="Y9">IFERROR(IF(AI9&lt;&gt;1,"",MAX(0,(AX9*((SUMPRODUCT(F9:M9,TRANSPOSE(AN$6:AN$13))+SUMPRODUCT(N9:U9,TRANSPOSE(AN$20:AN$27)))*X9)))*(1-SUM(C9:E9)/3)),"")</f>
        <v>410.8</v>
      </c>
      <c r="Z9" s="317">
        <f t="shared" si="1"/>
        <v>4.955811784107321E-2</v>
      </c>
      <c r="AA9" s="302">
        <f t="shared" si="15"/>
        <v>1</v>
      </c>
      <c r="AB9" s="302">
        <f t="shared" si="16"/>
        <v>1</v>
      </c>
      <c r="AC9" s="302">
        <f t="shared" si="17"/>
        <v>1</v>
      </c>
      <c r="AD9" s="302">
        <f t="shared" si="18"/>
        <v>1</v>
      </c>
      <c r="AE9" s="302">
        <f t="shared" si="19"/>
        <v>1</v>
      </c>
      <c r="AF9" s="302">
        <f t="shared" si="20"/>
        <v>1</v>
      </c>
      <c r="AG9" s="302">
        <f t="shared" si="21"/>
        <v>1</v>
      </c>
      <c r="AH9" s="302">
        <f t="shared" si="22"/>
        <v>1</v>
      </c>
      <c r="AI9" s="302">
        <f t="array" ref="AI9">IF(OR(AA9:AH9&lt;&gt;1),0,1)</f>
        <v>1</v>
      </c>
      <c r="AJ9" s="318">
        <f t="shared" si="10"/>
        <v>212</v>
      </c>
      <c r="AL9" s="332" t="str">
        <f>פרמטרים!A30</f>
        <v>30 עד 59 ק"מ מתל אביב  (נתניה, חדרה, יבנה, גדרה) - סיווג 2</v>
      </c>
      <c r="AM9" s="321" t="str">
        <f>פרמטרים!B30</f>
        <v>B2</v>
      </c>
      <c r="AN9" s="331">
        <f>פרמטרים!C30</f>
        <v>1</v>
      </c>
      <c r="AO9" s="302" t="str">
        <f t="shared" si="23"/>
        <v>המוסד זכאי לתוספת</v>
      </c>
      <c r="AP9" s="302" t="str">
        <f t="shared" si="11"/>
        <v>המוסד נמנע מקיום הרצות ולכן יש להפחית מניקודו</v>
      </c>
      <c r="AR9" s="303"/>
      <c r="AT9" s="302">
        <f t="shared" si="24"/>
        <v>0</v>
      </c>
      <c r="AU9" s="302">
        <f t="shared" si="25"/>
        <v>0</v>
      </c>
      <c r="AV9" s="302">
        <f t="shared" si="26"/>
        <v>0</v>
      </c>
      <c r="AW9" s="302">
        <f t="shared" si="27"/>
        <v>1</v>
      </c>
      <c r="AX9" s="320">
        <f t="shared" si="28"/>
        <v>1</v>
      </c>
      <c r="AZ9" s="302">
        <f t="shared" si="29"/>
        <v>1</v>
      </c>
      <c r="BA9" s="302">
        <f t="shared" si="29"/>
        <v>0</v>
      </c>
    </row>
    <row r="10" spans="1:53" ht="15.75">
      <c r="A10" s="78">
        <f>'מיקום התיאטרון'!A15</f>
        <v>5</v>
      </c>
      <c r="B10" s="403" t="str">
        <f>'מיקום התיאטרון'!B15</f>
        <v>באר שבע</v>
      </c>
      <c r="C10" s="315">
        <v>0</v>
      </c>
      <c r="D10" s="315">
        <v>0</v>
      </c>
      <c r="E10" s="315">
        <v>0</v>
      </c>
      <c r="F10" s="523">
        <v>0</v>
      </c>
      <c r="G10" s="523">
        <v>2</v>
      </c>
      <c r="H10" s="523">
        <v>4</v>
      </c>
      <c r="I10" s="523">
        <v>6</v>
      </c>
      <c r="J10" s="523">
        <v>34</v>
      </c>
      <c r="K10" s="523">
        <v>25</v>
      </c>
      <c r="L10" s="523">
        <v>112</v>
      </c>
      <c r="M10" s="523">
        <v>37</v>
      </c>
      <c r="N10" s="520">
        <v>0</v>
      </c>
      <c r="O10" s="520">
        <v>0</v>
      </c>
      <c r="P10" s="520">
        <v>0</v>
      </c>
      <c r="Q10" s="520">
        <v>0</v>
      </c>
      <c r="R10" s="520">
        <v>0</v>
      </c>
      <c r="S10" s="520">
        <v>0</v>
      </c>
      <c r="T10" s="520">
        <v>0</v>
      </c>
      <c r="U10" s="520">
        <v>143</v>
      </c>
      <c r="V10" s="404">
        <v>1</v>
      </c>
      <c r="W10" s="543">
        <f t="shared" si="0"/>
        <v>1</v>
      </c>
      <c r="X10" s="316">
        <f>'מיקום התיאטרון'!G15</f>
        <v>0.8</v>
      </c>
      <c r="Y10" s="338">
        <f t="array" ref="Y10">IFERROR(IF(AI10&lt;&gt;1,"",MAX(0,(AX10*((SUMPRODUCT(F10:M10,TRANSPOSE(AN$6:AN$13))+SUMPRODUCT(N10:U10,TRANSPOSE(AN$20:AN$27)))*X10)))*(1-SUM(C10:E10)/3)),"")</f>
        <v>704.88000000000011</v>
      </c>
      <c r="Z10" s="317">
        <f t="shared" si="1"/>
        <v>8.5035360525354653E-2</v>
      </c>
      <c r="AA10" s="302">
        <f t="shared" si="15"/>
        <v>1</v>
      </c>
      <c r="AB10" s="302">
        <f t="shared" si="16"/>
        <v>1</v>
      </c>
      <c r="AC10" s="302">
        <f t="shared" si="17"/>
        <v>1</v>
      </c>
      <c r="AD10" s="302">
        <f t="shared" si="18"/>
        <v>1</v>
      </c>
      <c r="AE10" s="302">
        <f t="shared" si="19"/>
        <v>1</v>
      </c>
      <c r="AF10" s="302">
        <f t="shared" si="20"/>
        <v>1</v>
      </c>
      <c r="AG10" s="302">
        <f t="shared" si="21"/>
        <v>1</v>
      </c>
      <c r="AH10" s="302">
        <f t="shared" si="22"/>
        <v>1</v>
      </c>
      <c r="AI10" s="302">
        <f t="array" ref="AI10">IF(OR(AA10:AH10&lt;&gt;1),0,1)</f>
        <v>1</v>
      </c>
      <c r="AJ10" s="318">
        <f t="shared" si="10"/>
        <v>220</v>
      </c>
      <c r="AL10" s="332" t="str">
        <f>פרמטרים!A31</f>
        <v>60 עד 100 ק"מ מתל אביב (ירושלים, חיפה) - סיווג 1</v>
      </c>
      <c r="AM10" s="321" t="str">
        <f>פרמטרים!B31</f>
        <v>C1</v>
      </c>
      <c r="AN10" s="331">
        <f>פרמטרים!C31</f>
        <v>1</v>
      </c>
      <c r="AO10" s="302" t="str">
        <f t="shared" si="23"/>
        <v>המוסד זכאי לתוספת</v>
      </c>
      <c r="AP10" s="302" t="str">
        <f t="shared" si="11"/>
        <v>המוסד נמנע מקיום הרצות ולכן יש להפחית מניקודו</v>
      </c>
      <c r="AR10" s="303"/>
      <c r="AT10" s="302">
        <f t="shared" si="24"/>
        <v>0</v>
      </c>
      <c r="AU10" s="302">
        <f t="shared" si="25"/>
        <v>0</v>
      </c>
      <c r="AV10" s="302">
        <f t="shared" si="26"/>
        <v>0</v>
      </c>
      <c r="AW10" s="302">
        <f t="shared" si="27"/>
        <v>1.1000000000000001</v>
      </c>
      <c r="AX10" s="320">
        <f t="shared" si="28"/>
        <v>1.1000000000000001</v>
      </c>
      <c r="AZ10" s="302">
        <f t="shared" si="29"/>
        <v>1</v>
      </c>
      <c r="BA10" s="302">
        <f t="shared" si="29"/>
        <v>0</v>
      </c>
    </row>
    <row r="11" spans="1:53" ht="15.75">
      <c r="A11" s="78">
        <f>'מיקום התיאטרון'!A16</f>
        <v>6</v>
      </c>
      <c r="B11" s="403" t="str">
        <f>'מיקום התיאטרון'!B16</f>
        <v>גשר</v>
      </c>
      <c r="C11" s="315">
        <v>0</v>
      </c>
      <c r="D11" s="315">
        <v>0</v>
      </c>
      <c r="E11" s="315">
        <v>0</v>
      </c>
      <c r="F11" s="520">
        <v>10</v>
      </c>
      <c r="G11" s="520">
        <v>1</v>
      </c>
      <c r="H11" s="520">
        <v>8</v>
      </c>
      <c r="I11" s="520">
        <v>5</v>
      </c>
      <c r="J11" s="520">
        <v>10</v>
      </c>
      <c r="K11" s="520">
        <v>13</v>
      </c>
      <c r="L11" s="520">
        <v>26</v>
      </c>
      <c r="M11" s="520">
        <v>3</v>
      </c>
      <c r="N11" s="520">
        <v>183</v>
      </c>
      <c r="O11" s="520">
        <v>0</v>
      </c>
      <c r="P11" s="520">
        <v>0</v>
      </c>
      <c r="Q11" s="520">
        <v>0</v>
      </c>
      <c r="R11" s="520">
        <v>0</v>
      </c>
      <c r="S11" s="520">
        <v>0</v>
      </c>
      <c r="T11" s="520">
        <v>0</v>
      </c>
      <c r="U11" s="520">
        <v>0</v>
      </c>
      <c r="V11" s="404">
        <v>1</v>
      </c>
      <c r="W11" s="543">
        <f t="shared" si="0"/>
        <v>1</v>
      </c>
      <c r="X11" s="316">
        <f>'מיקום התיאטרון'!G16</f>
        <v>0.8</v>
      </c>
      <c r="Y11" s="338">
        <f t="array" ref="Y11">IFERROR(IF(AI11&lt;&gt;1,"",MAX(0,(AX11*((SUMPRODUCT(F11:M11,TRANSPOSE(AN$6:AN$13))+SUMPRODUCT(N11:U11,TRANSPOSE(AN$20:AN$27)))*X11)))*(1-SUM(C11:E11)/3)),"")</f>
        <v>82.28</v>
      </c>
      <c r="Z11" s="317">
        <f t="shared" si="1"/>
        <v>9.9261001362305357E-3</v>
      </c>
      <c r="AA11" s="302">
        <f t="shared" si="15"/>
        <v>1</v>
      </c>
      <c r="AB11" s="302">
        <f t="shared" si="16"/>
        <v>1</v>
      </c>
      <c r="AC11" s="302">
        <f t="shared" si="17"/>
        <v>1</v>
      </c>
      <c r="AD11" s="302">
        <f t="shared" si="18"/>
        <v>1</v>
      </c>
      <c r="AE11" s="302">
        <f t="shared" si="19"/>
        <v>1</v>
      </c>
      <c r="AF11" s="302">
        <f t="shared" si="20"/>
        <v>1</v>
      </c>
      <c r="AG11" s="302">
        <f t="shared" si="21"/>
        <v>1</v>
      </c>
      <c r="AH11" s="302">
        <f t="shared" si="22"/>
        <v>1</v>
      </c>
      <c r="AI11" s="302">
        <f t="array" ref="AI11">IF(OR(AA11:AH11&lt;&gt;1),0,1)</f>
        <v>1</v>
      </c>
      <c r="AJ11" s="318">
        <f t="shared" si="10"/>
        <v>76</v>
      </c>
      <c r="AL11" s="332" t="str">
        <f>פרמטרים!A32</f>
        <v>60 עד 100 ק"מ מתל אביב (ירושלים, חיפה) - סיווג 2</v>
      </c>
      <c r="AM11" s="321" t="str">
        <f>פרמטרים!B32</f>
        <v>C2</v>
      </c>
      <c r="AN11" s="331">
        <f>פרמטרים!C32</f>
        <v>2</v>
      </c>
      <c r="AO11" s="302" t="str">
        <f t="shared" si="23"/>
        <v>המוסד זכאי לתוספת</v>
      </c>
      <c r="AP11" s="302" t="str">
        <f t="shared" si="11"/>
        <v>המוסד נמנע מקיום הרצות ולכן יש להפחית מניקודו</v>
      </c>
      <c r="AR11" s="303"/>
      <c r="AT11" s="302">
        <f t="shared" si="24"/>
        <v>0</v>
      </c>
      <c r="AU11" s="302">
        <f t="shared" si="25"/>
        <v>0</v>
      </c>
      <c r="AV11" s="302">
        <f t="shared" si="26"/>
        <v>0</v>
      </c>
      <c r="AW11" s="302">
        <f t="shared" si="27"/>
        <v>1.1000000000000001</v>
      </c>
      <c r="AX11" s="320">
        <f t="shared" si="28"/>
        <v>1.1000000000000001</v>
      </c>
      <c r="AZ11" s="302">
        <f t="shared" si="29"/>
        <v>1</v>
      </c>
      <c r="BA11" s="302">
        <f t="shared" si="29"/>
        <v>0</v>
      </c>
    </row>
    <row r="12" spans="1:53" ht="15.75">
      <c r="A12" s="78">
        <f>'מיקום התיאטרון'!A17</f>
        <v>7</v>
      </c>
      <c r="B12" s="403" t="str">
        <f>'מיקום התיאטרון'!B17</f>
        <v>החאן</v>
      </c>
      <c r="C12" s="315">
        <v>0</v>
      </c>
      <c r="D12" s="315">
        <v>0</v>
      </c>
      <c r="E12" s="315">
        <v>0</v>
      </c>
      <c r="F12" s="520">
        <v>1</v>
      </c>
      <c r="G12" s="520">
        <v>2</v>
      </c>
      <c r="H12" s="520">
        <v>22</v>
      </c>
      <c r="I12" s="520">
        <v>0</v>
      </c>
      <c r="J12" s="520">
        <v>50</v>
      </c>
      <c r="K12" s="520">
        <v>6</v>
      </c>
      <c r="L12" s="520">
        <v>8</v>
      </c>
      <c r="M12" s="520">
        <v>6</v>
      </c>
      <c r="N12" s="520">
        <v>0</v>
      </c>
      <c r="O12" s="520">
        <v>0</v>
      </c>
      <c r="P12" s="520">
        <v>0</v>
      </c>
      <c r="Q12" s="520">
        <v>0</v>
      </c>
      <c r="R12" s="520">
        <v>0</v>
      </c>
      <c r="S12" s="520">
        <v>217</v>
      </c>
      <c r="T12" s="520">
        <v>0</v>
      </c>
      <c r="U12" s="520">
        <v>0</v>
      </c>
      <c r="V12" s="404">
        <v>1</v>
      </c>
      <c r="W12" s="543">
        <f t="shared" si="0"/>
        <v>1</v>
      </c>
      <c r="X12" s="316">
        <f>'מיקום התיאטרון'!G17</f>
        <v>0.8</v>
      </c>
      <c r="Y12" s="338">
        <f t="array" ref="Y12">IFERROR(IF(AI12&lt;&gt;1,"",MAX(0,(AX12*((SUMPRODUCT(F12:M12,TRANSPOSE(AN$6:AN$13))+SUMPRODUCT(N12:U12,TRANSPOSE(AN$20:AN$27)))*X12)))*(1-SUM(C12:E12)/3)),"")</f>
        <v>473.44000000000005</v>
      </c>
      <c r="Z12" s="317">
        <f t="shared" si="1"/>
        <v>5.7114886345369285E-2</v>
      </c>
      <c r="AA12" s="302">
        <f t="shared" si="15"/>
        <v>1</v>
      </c>
      <c r="AB12" s="302">
        <f t="shared" si="16"/>
        <v>1</v>
      </c>
      <c r="AC12" s="302">
        <f t="shared" si="17"/>
        <v>1</v>
      </c>
      <c r="AD12" s="302">
        <f t="shared" si="18"/>
        <v>1</v>
      </c>
      <c r="AE12" s="302">
        <f t="shared" si="19"/>
        <v>1</v>
      </c>
      <c r="AF12" s="302">
        <f t="shared" si="20"/>
        <v>1</v>
      </c>
      <c r="AG12" s="302">
        <f t="shared" si="21"/>
        <v>1</v>
      </c>
      <c r="AH12" s="302">
        <f t="shared" si="22"/>
        <v>1</v>
      </c>
      <c r="AI12" s="302">
        <f t="array" ref="AI12">IF(OR(AA12:AH12&lt;&gt;1),0,1)</f>
        <v>1</v>
      </c>
      <c r="AJ12" s="318">
        <f t="shared" si="10"/>
        <v>95</v>
      </c>
      <c r="AL12" s="332" t="str">
        <f>פרמטרים!A33</f>
        <v>מעל 100 ק"מ מתל אביב (עכו, באר שבע, טבריה) - סיווג 1</v>
      </c>
      <c r="AM12" s="321" t="str">
        <f>פרמטרים!B33</f>
        <v>D1</v>
      </c>
      <c r="AN12" s="331">
        <f>פרמטרים!C33</f>
        <v>1.5</v>
      </c>
      <c r="AO12" s="302" t="str">
        <f t="shared" si="23"/>
        <v>המוסד זכאי לתוספת</v>
      </c>
      <c r="AP12" s="302" t="str">
        <f t="shared" si="11"/>
        <v>המוסד נמנע מקיום הרצות ולכן יש להפחית מניקודו</v>
      </c>
      <c r="AR12" s="303"/>
      <c r="AT12" s="302">
        <f t="shared" si="24"/>
        <v>0</v>
      </c>
      <c r="AU12" s="302">
        <f t="shared" si="25"/>
        <v>0</v>
      </c>
      <c r="AV12" s="302">
        <f t="shared" si="26"/>
        <v>0</v>
      </c>
      <c r="AW12" s="302">
        <f t="shared" si="27"/>
        <v>1.1000000000000001</v>
      </c>
      <c r="AX12" s="320">
        <f t="shared" si="28"/>
        <v>1.1000000000000001</v>
      </c>
      <c r="AZ12" s="302">
        <f t="shared" si="29"/>
        <v>1</v>
      </c>
      <c r="BA12" s="302">
        <f t="shared" si="29"/>
        <v>0</v>
      </c>
    </row>
    <row r="13" spans="1:53" ht="16.5" thickBot="1">
      <c r="A13" s="78">
        <f>'מיקום התיאטרון'!A18</f>
        <v>8</v>
      </c>
      <c r="B13" s="403" t="str">
        <f>'מיקום התיאטרון'!B18</f>
        <v>היידישפיל</v>
      </c>
      <c r="C13" s="315">
        <v>0</v>
      </c>
      <c r="D13" s="315">
        <v>0</v>
      </c>
      <c r="E13" s="315">
        <v>0</v>
      </c>
      <c r="F13" s="520">
        <v>111</v>
      </c>
      <c r="G13" s="520">
        <v>2</v>
      </c>
      <c r="H13" s="520">
        <v>17</v>
      </c>
      <c r="I13" s="520">
        <v>38</v>
      </c>
      <c r="J13" s="520">
        <v>31</v>
      </c>
      <c r="K13" s="520">
        <v>34</v>
      </c>
      <c r="L13" s="520">
        <v>15</v>
      </c>
      <c r="M13" s="520">
        <v>43</v>
      </c>
      <c r="N13" s="520">
        <v>57</v>
      </c>
      <c r="O13" s="520">
        <v>0</v>
      </c>
      <c r="P13" s="520">
        <v>0</v>
      </c>
      <c r="Q13" s="520">
        <v>0</v>
      </c>
      <c r="R13" s="520">
        <v>0</v>
      </c>
      <c r="S13" s="520">
        <v>0</v>
      </c>
      <c r="T13" s="520">
        <v>0</v>
      </c>
      <c r="U13" s="520">
        <v>0</v>
      </c>
      <c r="V13" s="404">
        <v>1</v>
      </c>
      <c r="W13" s="543">
        <f t="shared" si="0"/>
        <v>1</v>
      </c>
      <c r="X13" s="316">
        <f>'מיקום התיאטרון'!G18</f>
        <v>0.8</v>
      </c>
      <c r="Y13" s="338">
        <f t="array" ref="Y13">IFERROR(IF(AI13&lt;&gt;1,"",MAX(0,(AX13*((SUMPRODUCT(F13:M13,TRANSPOSE(AN$6:AN$13))+SUMPRODUCT(N13:U13,TRANSPOSE(AN$20:AN$27)))*X13)))*(1-SUM(C13:E13)/3)),"")</f>
        <v>262.24</v>
      </c>
      <c r="Z13" s="317">
        <f t="shared" si="1"/>
        <v>3.1636126637397857E-2</v>
      </c>
      <c r="AA13" s="302">
        <f t="shared" si="15"/>
        <v>1</v>
      </c>
      <c r="AB13" s="302">
        <f t="shared" si="16"/>
        <v>1</v>
      </c>
      <c r="AC13" s="302">
        <f t="shared" si="17"/>
        <v>1</v>
      </c>
      <c r="AD13" s="302">
        <f t="shared" si="18"/>
        <v>1</v>
      </c>
      <c r="AE13" s="302">
        <f t="shared" si="19"/>
        <v>1</v>
      </c>
      <c r="AF13" s="302">
        <f t="shared" si="20"/>
        <v>1</v>
      </c>
      <c r="AG13" s="302">
        <f t="shared" si="21"/>
        <v>1</v>
      </c>
      <c r="AH13" s="302">
        <f t="shared" si="22"/>
        <v>1</v>
      </c>
      <c r="AI13" s="302">
        <f t="array" ref="AI13">IF(OR(AA13:AH13&lt;&gt;1),0,1)</f>
        <v>1</v>
      </c>
      <c r="AJ13" s="318">
        <f t="shared" si="10"/>
        <v>291</v>
      </c>
      <c r="AL13" s="414" t="str">
        <f>פרמטרים!A34</f>
        <v>מעל 100 ק"מ מתל אביב (עכו, באר שבע, טבריה) - סיווג 2</v>
      </c>
      <c r="AM13" s="415" t="str">
        <f>פרמטרים!B34</f>
        <v>D2</v>
      </c>
      <c r="AN13" s="334">
        <f>פרמטרים!C34</f>
        <v>3</v>
      </c>
      <c r="AO13" s="302" t="str">
        <f t="shared" si="23"/>
        <v>המוסד זכאי לתוספת</v>
      </c>
      <c r="AP13" s="302" t="str">
        <f t="shared" si="11"/>
        <v>המוסד נמנע מקיום הרצות ולכן יש להפחית מניקודו</v>
      </c>
      <c r="AR13" s="303"/>
      <c r="AT13" s="302">
        <f t="shared" si="24"/>
        <v>0</v>
      </c>
      <c r="AU13" s="302">
        <f t="shared" si="25"/>
        <v>0</v>
      </c>
      <c r="AV13" s="302">
        <f t="shared" si="26"/>
        <v>0</v>
      </c>
      <c r="AW13" s="302">
        <f t="shared" si="27"/>
        <v>1.1000000000000001</v>
      </c>
      <c r="AX13" s="320">
        <f t="shared" si="28"/>
        <v>1.1000000000000001</v>
      </c>
      <c r="AZ13" s="302">
        <f t="shared" si="29"/>
        <v>1</v>
      </c>
      <c r="BA13" s="302">
        <f t="shared" si="29"/>
        <v>0</v>
      </c>
    </row>
    <row r="14" spans="1:53" ht="15.75">
      <c r="A14" s="78">
        <f>'מיקום התיאטרון'!A19</f>
        <v>9</v>
      </c>
      <c r="B14" s="403" t="str">
        <f>'מיקום התיאטרון'!B19</f>
        <v>תיאטרון אלמידאן</v>
      </c>
      <c r="C14" s="315">
        <v>0</v>
      </c>
      <c r="D14" s="315">
        <v>0</v>
      </c>
      <c r="E14" s="315">
        <v>0</v>
      </c>
      <c r="F14" s="315">
        <v>0</v>
      </c>
      <c r="G14" s="315">
        <v>0</v>
      </c>
      <c r="H14" s="315">
        <v>0</v>
      </c>
      <c r="I14" s="315">
        <v>0</v>
      </c>
      <c r="J14" s="315">
        <v>0</v>
      </c>
      <c r="K14" s="315">
        <v>0</v>
      </c>
      <c r="L14" s="315">
        <v>0</v>
      </c>
      <c r="M14" s="315">
        <v>0</v>
      </c>
      <c r="N14" s="315">
        <v>0</v>
      </c>
      <c r="O14" s="315">
        <v>0</v>
      </c>
      <c r="P14" s="315">
        <v>0</v>
      </c>
      <c r="Q14" s="315">
        <v>0</v>
      </c>
      <c r="R14" s="315">
        <v>2</v>
      </c>
      <c r="S14" s="315">
        <v>0</v>
      </c>
      <c r="T14" s="315">
        <v>0</v>
      </c>
      <c r="U14" s="315">
        <v>0</v>
      </c>
      <c r="V14" s="404">
        <v>0</v>
      </c>
      <c r="W14" s="543">
        <f t="shared" si="0"/>
        <v>0</v>
      </c>
      <c r="X14" s="316">
        <f>'מיקום התיאטרון'!G19</f>
        <v>0</v>
      </c>
      <c r="Y14" s="338">
        <f t="array" ref="Y14">IFERROR(IF(AI14&lt;&gt;1,"",MAX(0,(AX14*((SUMPRODUCT(F14:M14,TRANSPOSE(AN$6:AN$13))+SUMPRODUCT(N14:U14,TRANSPOSE(AN$20:AN$27)))*X14)))*(1-SUM(C14:E14)/3)),"")</f>
        <v>0</v>
      </c>
      <c r="Z14" s="317">
        <f t="shared" si="1"/>
        <v>0</v>
      </c>
      <c r="AA14" s="302">
        <f t="shared" si="15"/>
        <v>1</v>
      </c>
      <c r="AB14" s="302">
        <f t="shared" si="16"/>
        <v>1</v>
      </c>
      <c r="AC14" s="302">
        <f t="shared" si="17"/>
        <v>1</v>
      </c>
      <c r="AD14" s="302">
        <f t="shared" si="18"/>
        <v>1</v>
      </c>
      <c r="AE14" s="302">
        <f t="shared" si="19"/>
        <v>1</v>
      </c>
      <c r="AF14" s="302">
        <f t="shared" si="20"/>
        <v>1</v>
      </c>
      <c r="AG14" s="302">
        <f t="shared" si="21"/>
        <v>1</v>
      </c>
      <c r="AH14" s="302">
        <f t="shared" si="22"/>
        <v>1</v>
      </c>
      <c r="AI14" s="302">
        <f t="array" ref="AI14">IF(OR(AA14:AH14&lt;&gt;1),0,1)</f>
        <v>1</v>
      </c>
      <c r="AJ14" s="318">
        <f t="shared" si="10"/>
        <v>0</v>
      </c>
      <c r="AL14" s="416" t="str">
        <f>פרמטרים!A45</f>
        <v>מקדם למוסדות שקיימו הרצות ביהודה, שומרון, הנגב או הגליל</v>
      </c>
      <c r="AM14" s="417">
        <f>פרמטרים!B45</f>
        <v>1.1000000000000001</v>
      </c>
      <c r="AO14" s="302" t="str">
        <f t="shared" si="23"/>
        <v>המוסד זכאי לתוספת</v>
      </c>
      <c r="AP14" s="302" t="str">
        <f t="shared" si="11"/>
        <v>המוסד נמנע מקיום הרצות ולכן יש להפחית מניקודו</v>
      </c>
      <c r="AR14" s="303"/>
      <c r="AT14" s="302">
        <f t="shared" si="24"/>
        <v>0</v>
      </c>
      <c r="AU14" s="302">
        <f t="shared" si="25"/>
        <v>0</v>
      </c>
      <c r="AV14" s="302">
        <f t="shared" si="26"/>
        <v>0</v>
      </c>
      <c r="AW14" s="302">
        <f t="shared" si="27"/>
        <v>1</v>
      </c>
      <c r="AX14" s="320">
        <f t="shared" si="28"/>
        <v>1</v>
      </c>
      <c r="AZ14" s="302">
        <f t="shared" si="29"/>
        <v>1</v>
      </c>
      <c r="BA14" s="302">
        <f t="shared" si="29"/>
        <v>0</v>
      </c>
    </row>
    <row r="15" spans="1:53" ht="23.25" thickBot="1">
      <c r="A15" s="78">
        <f>'מיקום התיאטרון'!A20</f>
        <v>10</v>
      </c>
      <c r="B15" s="403" t="str">
        <f>'מיקום התיאטרון'!B20</f>
        <v>הזירה הבין תחומית</v>
      </c>
      <c r="C15" s="315">
        <v>0</v>
      </c>
      <c r="D15" s="315">
        <v>0</v>
      </c>
      <c r="E15" s="315">
        <v>0</v>
      </c>
      <c r="F15" s="520">
        <v>0</v>
      </c>
      <c r="G15" s="520">
        <v>0</v>
      </c>
      <c r="H15" s="520">
        <v>1</v>
      </c>
      <c r="I15" s="520">
        <v>0</v>
      </c>
      <c r="J15" s="520">
        <v>38</v>
      </c>
      <c r="K15" s="520">
        <v>0</v>
      </c>
      <c r="L15" s="520">
        <v>4</v>
      </c>
      <c r="M15" s="520">
        <v>3</v>
      </c>
      <c r="N15" s="520">
        <v>0</v>
      </c>
      <c r="O15" s="520">
        <v>0</v>
      </c>
      <c r="P15" s="520">
        <v>0</v>
      </c>
      <c r="Q15" s="520">
        <v>0</v>
      </c>
      <c r="R15" s="520">
        <v>0</v>
      </c>
      <c r="S15" s="520">
        <v>43</v>
      </c>
      <c r="T15" s="520">
        <v>0</v>
      </c>
      <c r="U15" s="520">
        <v>0</v>
      </c>
      <c r="V15" s="404">
        <v>0</v>
      </c>
      <c r="W15" s="543">
        <f t="shared" si="0"/>
        <v>0</v>
      </c>
      <c r="X15" s="316">
        <f>'מיקום התיאטרון'!G20</f>
        <v>0.25</v>
      </c>
      <c r="Y15" s="338">
        <f t="array" ref="Y15">IFERROR(IF(AI15&lt;&gt;1,"",MAX(0,(AX15*((SUMPRODUCT(F15:M15,TRANSPOSE(AN$6:AN$13))+SUMPRODUCT(N15:U15,TRANSPOSE(AN$20:AN$27)))*X15)))*(1-SUM(C15:E15)/3)),"")</f>
        <v>34.875</v>
      </c>
      <c r="Z15" s="317">
        <f t="shared" si="1"/>
        <v>4.2072525796188615E-3</v>
      </c>
      <c r="AA15" s="302">
        <f t="shared" si="15"/>
        <v>1</v>
      </c>
      <c r="AB15" s="302">
        <f t="shared" si="16"/>
        <v>1</v>
      </c>
      <c r="AC15" s="302">
        <f t="shared" si="17"/>
        <v>1</v>
      </c>
      <c r="AD15" s="302">
        <f t="shared" si="18"/>
        <v>1</v>
      </c>
      <c r="AE15" s="302">
        <f t="shared" si="19"/>
        <v>1</v>
      </c>
      <c r="AF15" s="302">
        <f t="shared" si="20"/>
        <v>1</v>
      </c>
      <c r="AG15" s="302">
        <f t="shared" si="21"/>
        <v>1</v>
      </c>
      <c r="AH15" s="302">
        <f t="shared" si="22"/>
        <v>1</v>
      </c>
      <c r="AI15" s="302">
        <f t="array" ref="AI15">IF(OR(AA15:AH15&lt;&gt;1),0,1)</f>
        <v>1</v>
      </c>
      <c r="AJ15" s="318">
        <f t="shared" si="10"/>
        <v>46</v>
      </c>
      <c r="AL15" s="418" t="str">
        <f>פרמטרים!A46</f>
        <v>הפחתה בגין מוסדות שסירבו לבצע הרצות ביהודה, שורון, הנגב או הגליל</v>
      </c>
      <c r="AM15" s="419">
        <f>פרמטרים!B46</f>
        <v>0.33333333333333331</v>
      </c>
      <c r="AO15" s="302" t="str">
        <f t="shared" si="23"/>
        <v>המוסד זכאי לתוספת</v>
      </c>
      <c r="AP15" s="302" t="str">
        <f t="shared" si="11"/>
        <v>המוסד נמנע מקיום הרצות ולכן יש להפחית מניקודו</v>
      </c>
      <c r="AR15" s="303"/>
      <c r="AT15" s="302">
        <f t="shared" si="24"/>
        <v>0</v>
      </c>
      <c r="AU15" s="302">
        <f t="shared" si="25"/>
        <v>0</v>
      </c>
      <c r="AV15" s="302">
        <f t="shared" si="26"/>
        <v>0</v>
      </c>
      <c r="AW15" s="302">
        <f t="shared" si="27"/>
        <v>1</v>
      </c>
      <c r="AX15" s="320">
        <f t="shared" si="28"/>
        <v>1</v>
      </c>
      <c r="AZ15" s="302">
        <f t="shared" si="29"/>
        <v>1</v>
      </c>
      <c r="BA15" s="302">
        <f t="shared" si="29"/>
        <v>0</v>
      </c>
    </row>
    <row r="16" spans="1:53" ht="15.75">
      <c r="A16" s="78">
        <f>'מיקום התיאטרון'!A21</f>
        <v>11</v>
      </c>
      <c r="B16" s="403" t="str">
        <f>'מיקום התיאטרון'!B21</f>
        <v>אספקלריא</v>
      </c>
      <c r="C16" s="315">
        <v>0</v>
      </c>
      <c r="D16" s="315">
        <v>0</v>
      </c>
      <c r="E16" s="315">
        <v>0</v>
      </c>
      <c r="F16" s="520">
        <v>2</v>
      </c>
      <c r="G16" s="520">
        <v>17</v>
      </c>
      <c r="H16" s="520">
        <v>13</v>
      </c>
      <c r="I16" s="520">
        <v>27</v>
      </c>
      <c r="J16" s="520">
        <v>38</v>
      </c>
      <c r="K16" s="520">
        <v>29</v>
      </c>
      <c r="L16" s="520">
        <v>16</v>
      </c>
      <c r="M16" s="520">
        <v>42</v>
      </c>
      <c r="N16" s="520">
        <v>0</v>
      </c>
      <c r="O16" s="520">
        <v>0</v>
      </c>
      <c r="P16" s="520">
        <v>0</v>
      </c>
      <c r="Q16" s="520">
        <v>0</v>
      </c>
      <c r="R16" s="520">
        <v>0</v>
      </c>
      <c r="S16" s="520">
        <v>34</v>
      </c>
      <c r="T16" s="520">
        <v>0</v>
      </c>
      <c r="U16" s="520">
        <v>0</v>
      </c>
      <c r="V16" s="404">
        <v>1</v>
      </c>
      <c r="W16" s="543">
        <f t="shared" si="0"/>
        <v>1</v>
      </c>
      <c r="X16" s="316">
        <f>'מיקום התיאטרון'!G21</f>
        <v>0.25</v>
      </c>
      <c r="Y16" s="338">
        <f t="array" ref="Y16">IFERROR(IF(AI16&lt;&gt;1,"",MAX(0,(AX16*((SUMPRODUCT(F16:M16,TRANSPOSE(AN$6:AN$13))+SUMPRODUCT(N16:U16,TRANSPOSE(AN$20:AN$27)))*X16)))*(1-SUM(C16:E16)/3)),"")</f>
        <v>97.9</v>
      </c>
      <c r="Z16" s="317">
        <f t="shared" si="1"/>
        <v>1.181046673963259E-2</v>
      </c>
      <c r="AA16" s="302">
        <f t="shared" si="15"/>
        <v>1</v>
      </c>
      <c r="AB16" s="302">
        <f t="shared" si="16"/>
        <v>1</v>
      </c>
      <c r="AC16" s="302">
        <f t="shared" si="17"/>
        <v>1</v>
      </c>
      <c r="AD16" s="302">
        <f t="shared" si="18"/>
        <v>1</v>
      </c>
      <c r="AE16" s="302">
        <f t="shared" si="19"/>
        <v>1</v>
      </c>
      <c r="AF16" s="302">
        <f t="shared" si="20"/>
        <v>1</v>
      </c>
      <c r="AG16" s="302">
        <f t="shared" si="21"/>
        <v>1</v>
      </c>
      <c r="AH16" s="302">
        <f t="shared" si="22"/>
        <v>1</v>
      </c>
      <c r="AI16" s="302">
        <f t="array" ref="AI16">IF(OR(AA16:AH16&lt;&gt;1),0,1)</f>
        <v>1</v>
      </c>
      <c r="AJ16" s="318">
        <f t="shared" si="10"/>
        <v>184</v>
      </c>
      <c r="AO16" s="302" t="str">
        <f t="shared" si="23"/>
        <v>המוסד זכאי לתוספת</v>
      </c>
      <c r="AP16" s="302" t="str">
        <f t="shared" si="11"/>
        <v>המוסד נמנע מקיום הרצות ולכן יש להפחית מניקודו</v>
      </c>
      <c r="AR16" s="303"/>
      <c r="AT16" s="302">
        <f t="shared" si="24"/>
        <v>0</v>
      </c>
      <c r="AU16" s="302">
        <f t="shared" si="25"/>
        <v>0</v>
      </c>
      <c r="AV16" s="302">
        <f t="shared" si="26"/>
        <v>0</v>
      </c>
      <c r="AW16" s="302">
        <f t="shared" si="27"/>
        <v>1.1000000000000001</v>
      </c>
      <c r="AX16" s="320">
        <f t="shared" si="28"/>
        <v>1.1000000000000001</v>
      </c>
      <c r="AZ16" s="302">
        <f t="shared" si="29"/>
        <v>1</v>
      </c>
      <c r="BA16" s="302">
        <f t="shared" si="29"/>
        <v>0</v>
      </c>
    </row>
    <row r="17" spans="1:53" ht="16.5" thickBot="1">
      <c r="A17" s="78">
        <f>'מיקום התיאטרון'!A22</f>
        <v>12</v>
      </c>
      <c r="B17" s="403" t="str">
        <f>'מיקום התיאטרון'!B22</f>
        <v/>
      </c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404"/>
      <c r="W17" s="543" t="str">
        <f t="shared" si="0"/>
        <v/>
      </c>
      <c r="X17" s="316" t="str">
        <f>'מיקום התיאטרון'!G22</f>
        <v/>
      </c>
      <c r="Y17" s="338" t="str">
        <f t="array" ref="Y17">IFERROR(IF(AI17&lt;&gt;1,"",MAX(0,(AX17*((SUMPRODUCT(F17:M17,TRANSPOSE(AN$6:AN$13))+SUMPRODUCT(N17:U17,TRANSPOSE(AN$20:AN$27)))*X17)))*(1-SUM(C17:E17)/3)),"")</f>
        <v/>
      </c>
      <c r="Z17" s="317" t="str">
        <f t="shared" si="1"/>
        <v/>
      </c>
      <c r="AA17" s="302">
        <f t="shared" si="15"/>
        <v>0</v>
      </c>
      <c r="AB17" s="302">
        <f t="shared" si="16"/>
        <v>0</v>
      </c>
      <c r="AC17" s="302">
        <f t="shared" si="17"/>
        <v>0</v>
      </c>
      <c r="AD17" s="302">
        <f t="shared" si="18"/>
        <v>0</v>
      </c>
      <c r="AE17" s="302">
        <f t="shared" si="19"/>
        <v>0</v>
      </c>
      <c r="AF17" s="302">
        <f t="shared" si="20"/>
        <v>0</v>
      </c>
      <c r="AG17" s="302">
        <f t="shared" si="21"/>
        <v>0</v>
      </c>
      <c r="AH17" s="302">
        <f t="shared" si="22"/>
        <v>0</v>
      </c>
      <c r="AI17" s="302">
        <f t="array" ref="AI17">IF(OR(AA17:AH17&lt;&gt;1),0,1)</f>
        <v>0</v>
      </c>
      <c r="AJ17" s="318">
        <f t="shared" si="10"/>
        <v>0</v>
      </c>
      <c r="AO17" s="302" t="str">
        <f t="shared" si="23"/>
        <v/>
      </c>
      <c r="AP17" s="302" t="str">
        <f t="shared" si="11"/>
        <v/>
      </c>
      <c r="AR17" s="303"/>
      <c r="AT17" s="302">
        <f t="shared" si="24"/>
        <v>0</v>
      </c>
      <c r="AU17" s="302">
        <f t="shared" si="25"/>
        <v>0</v>
      </c>
      <c r="AV17" s="302">
        <f t="shared" si="26"/>
        <v>0</v>
      </c>
      <c r="AW17" s="302" t="str">
        <f t="shared" si="27"/>
        <v/>
      </c>
      <c r="AX17" s="320" t="str">
        <f t="shared" si="28"/>
        <v/>
      </c>
      <c r="AZ17" s="302" t="str">
        <f t="shared" si="29"/>
        <v/>
      </c>
      <c r="BA17" s="302" t="str">
        <f t="shared" si="29"/>
        <v/>
      </c>
    </row>
    <row r="18" spans="1:53" ht="17.25" thickTop="1" thickBot="1">
      <c r="A18" s="78">
        <f>'מיקום התיאטרון'!A23</f>
        <v>13</v>
      </c>
      <c r="B18" s="403" t="str">
        <f>'מיקום התיאטרון'!B23</f>
        <v>עכו</v>
      </c>
      <c r="C18" s="315">
        <v>0</v>
      </c>
      <c r="D18" s="315">
        <v>0</v>
      </c>
      <c r="E18" s="315">
        <v>0</v>
      </c>
      <c r="F18" s="520">
        <v>3</v>
      </c>
      <c r="G18" s="520">
        <v>23</v>
      </c>
      <c r="H18" s="520">
        <v>0</v>
      </c>
      <c r="I18" s="520">
        <v>26</v>
      </c>
      <c r="J18" s="520">
        <v>0</v>
      </c>
      <c r="K18" s="520">
        <v>1</v>
      </c>
      <c r="L18" s="520">
        <v>20</v>
      </c>
      <c r="M18" s="520">
        <v>6</v>
      </c>
      <c r="N18" s="520">
        <v>0</v>
      </c>
      <c r="O18" s="520">
        <v>0</v>
      </c>
      <c r="P18" s="520">
        <v>0</v>
      </c>
      <c r="Q18" s="520">
        <v>0</v>
      </c>
      <c r="R18" s="520">
        <v>0</v>
      </c>
      <c r="S18" s="520">
        <v>0</v>
      </c>
      <c r="T18" s="520">
        <v>0</v>
      </c>
      <c r="U18" s="520">
        <v>80</v>
      </c>
      <c r="V18" s="404">
        <v>0</v>
      </c>
      <c r="W18" s="543">
        <f t="shared" si="0"/>
        <v>0</v>
      </c>
      <c r="X18" s="316">
        <f>'מיקום התיאטרון'!G23</f>
        <v>0.25</v>
      </c>
      <c r="Y18" s="338">
        <f t="array" ref="Y18">IFERROR(IF(AI18&lt;&gt;1,"",MAX(0,(AX18*((SUMPRODUCT(F18:M18,TRANSPOSE(AN$6:AN$13))+SUMPRODUCT(N18:U18,TRANSPOSE(AN$20:AN$27)))*X18)))*(1-SUM(C18:E18)/3)),"")</f>
        <v>81.875</v>
      </c>
      <c r="Z18" s="317">
        <f t="shared" si="1"/>
        <v>9.877241719176897E-3</v>
      </c>
      <c r="AA18" s="302">
        <f t="shared" si="15"/>
        <v>1</v>
      </c>
      <c r="AB18" s="302">
        <f t="shared" si="16"/>
        <v>1</v>
      </c>
      <c r="AC18" s="302">
        <f t="shared" si="17"/>
        <v>1</v>
      </c>
      <c r="AD18" s="302">
        <f t="shared" si="18"/>
        <v>1</v>
      </c>
      <c r="AE18" s="302">
        <f t="shared" si="19"/>
        <v>1</v>
      </c>
      <c r="AF18" s="302">
        <f t="shared" si="20"/>
        <v>1</v>
      </c>
      <c r="AG18" s="302">
        <f t="shared" si="21"/>
        <v>1</v>
      </c>
      <c r="AH18" s="302">
        <f t="shared" si="22"/>
        <v>1</v>
      </c>
      <c r="AI18" s="302">
        <f t="array" ref="AI18">IF(OR(AA18:AH18&lt;&gt;1),0,1)</f>
        <v>1</v>
      </c>
      <c r="AJ18" s="318">
        <f t="shared" si="10"/>
        <v>79</v>
      </c>
      <c r="AL18" s="647" t="s">
        <v>293</v>
      </c>
      <c r="AM18" s="648"/>
      <c r="AN18" s="649"/>
      <c r="AO18" s="302" t="str">
        <f t="shared" si="23"/>
        <v>המוסד זכאי לתוספת</v>
      </c>
      <c r="AP18" s="302" t="str">
        <f t="shared" si="11"/>
        <v>המוסד נמנע מקיום הרצות ולכן יש להפחית מניקודו</v>
      </c>
      <c r="AR18" s="303"/>
      <c r="AT18" s="302">
        <f t="shared" si="24"/>
        <v>0</v>
      </c>
      <c r="AU18" s="302">
        <f t="shared" si="25"/>
        <v>0</v>
      </c>
      <c r="AV18" s="302">
        <f t="shared" si="26"/>
        <v>0</v>
      </c>
      <c r="AW18" s="302">
        <f t="shared" si="27"/>
        <v>1</v>
      </c>
      <c r="AX18" s="320">
        <f t="shared" si="28"/>
        <v>1</v>
      </c>
      <c r="AZ18" s="302">
        <f t="shared" si="29"/>
        <v>1</v>
      </c>
      <c r="BA18" s="302">
        <f t="shared" si="29"/>
        <v>0</v>
      </c>
    </row>
    <row r="19" spans="1:53" ht="15.75">
      <c r="A19" s="78">
        <f>'מיקום התיאטרון'!A24</f>
        <v>14</v>
      </c>
      <c r="B19" s="403" t="str">
        <f>'מיקום התיאטרון'!B24</f>
        <v>הספרייה</v>
      </c>
      <c r="C19" s="315">
        <v>0</v>
      </c>
      <c r="D19" s="315">
        <v>0</v>
      </c>
      <c r="E19" s="315">
        <v>0</v>
      </c>
      <c r="F19" s="520">
        <v>13</v>
      </c>
      <c r="G19" s="520">
        <v>0</v>
      </c>
      <c r="H19" s="520">
        <v>1</v>
      </c>
      <c r="I19" s="520">
        <v>0</v>
      </c>
      <c r="J19" s="520">
        <v>1</v>
      </c>
      <c r="K19" s="520">
        <v>0</v>
      </c>
      <c r="L19" s="520">
        <v>0</v>
      </c>
      <c r="M19" s="520">
        <v>0</v>
      </c>
      <c r="N19" s="520">
        <v>248</v>
      </c>
      <c r="O19" s="520">
        <v>0</v>
      </c>
      <c r="P19" s="520">
        <v>0</v>
      </c>
      <c r="Q19" s="520">
        <v>0</v>
      </c>
      <c r="R19" s="520">
        <v>0</v>
      </c>
      <c r="S19" s="520">
        <v>0</v>
      </c>
      <c r="T19" s="520">
        <v>0</v>
      </c>
      <c r="U19" s="520">
        <v>0</v>
      </c>
      <c r="V19" s="404">
        <v>0</v>
      </c>
      <c r="W19" s="543">
        <f t="shared" si="0"/>
        <v>0</v>
      </c>
      <c r="X19" s="316">
        <f>'מיקום התיאטרון'!G24</f>
        <v>0.25</v>
      </c>
      <c r="Y19" s="338">
        <f t="array" ref="Y19">IFERROR(IF(AI19&lt;&gt;1,"",MAX(0,(AX19*((SUMPRODUCT(F19:M19,TRANSPOSE(AN$6:AN$13))+SUMPRODUCT(N19:U19,TRANSPOSE(AN$20:AN$27)))*X19)))*(1-SUM(C19:E19)/3)),"")</f>
        <v>0.375</v>
      </c>
      <c r="Z19" s="317">
        <f t="shared" si="1"/>
        <v>4.5239275049665178E-5</v>
      </c>
      <c r="AA19" s="302">
        <f t="shared" si="15"/>
        <v>1</v>
      </c>
      <c r="AB19" s="302">
        <f t="shared" si="16"/>
        <v>1</v>
      </c>
      <c r="AC19" s="302">
        <f t="shared" si="17"/>
        <v>1</v>
      </c>
      <c r="AD19" s="302">
        <f t="shared" si="18"/>
        <v>1</v>
      </c>
      <c r="AE19" s="302">
        <f t="shared" si="19"/>
        <v>1</v>
      </c>
      <c r="AF19" s="302">
        <f t="shared" si="20"/>
        <v>1</v>
      </c>
      <c r="AG19" s="302">
        <f t="shared" si="21"/>
        <v>1</v>
      </c>
      <c r="AH19" s="302">
        <f t="shared" si="22"/>
        <v>1</v>
      </c>
      <c r="AI19" s="302">
        <f t="array" ref="AI19">IF(OR(AA19:AH19&lt;&gt;1),0,1)</f>
        <v>1</v>
      </c>
      <c r="AJ19" s="318">
        <f t="shared" si="10"/>
        <v>15</v>
      </c>
      <c r="AL19" s="411" t="str">
        <f>AL5</f>
        <v>מיקום וסיווג</v>
      </c>
      <c r="AM19" s="412" t="str">
        <f t="shared" ref="AM19:AN19" si="30">AM5</f>
        <v>סימול</v>
      </c>
      <c r="AN19" s="413" t="str">
        <f t="shared" si="30"/>
        <v>ניקוד</v>
      </c>
      <c r="AO19" s="302" t="str">
        <f t="shared" si="23"/>
        <v>המוסד זכאי לתוספת</v>
      </c>
      <c r="AP19" s="302" t="str">
        <f t="shared" si="11"/>
        <v>המוסד נמנע מקיום הרצות ולכן יש להפחית מניקודו</v>
      </c>
      <c r="AR19" s="303"/>
      <c r="AT19" s="302">
        <f t="shared" si="24"/>
        <v>0</v>
      </c>
      <c r="AU19" s="302">
        <f t="shared" si="25"/>
        <v>0</v>
      </c>
      <c r="AV19" s="302">
        <f t="shared" si="26"/>
        <v>0</v>
      </c>
      <c r="AW19" s="302">
        <f t="shared" si="27"/>
        <v>1</v>
      </c>
      <c r="AX19" s="320">
        <f t="shared" si="28"/>
        <v>1</v>
      </c>
      <c r="AZ19" s="302">
        <f t="shared" si="29"/>
        <v>1</v>
      </c>
      <c r="BA19" s="302">
        <f t="shared" si="29"/>
        <v>0</v>
      </c>
    </row>
    <row r="20" spans="1:53" ht="15.75">
      <c r="A20" s="78">
        <f>'מיקום התיאטרון'!A25</f>
        <v>15</v>
      </c>
      <c r="B20" s="403" t="str">
        <f>'מיקום התיאטרון'!B25</f>
        <v>יפו</v>
      </c>
      <c r="C20" s="315">
        <v>0</v>
      </c>
      <c r="D20" s="315">
        <v>0</v>
      </c>
      <c r="E20" s="315">
        <v>0</v>
      </c>
      <c r="F20" s="520">
        <v>5</v>
      </c>
      <c r="G20" s="520">
        <v>0</v>
      </c>
      <c r="H20" s="520">
        <v>1</v>
      </c>
      <c r="I20" s="520">
        <v>0</v>
      </c>
      <c r="J20" s="520">
        <v>3</v>
      </c>
      <c r="K20" s="520">
        <v>2</v>
      </c>
      <c r="L20" s="520">
        <v>1</v>
      </c>
      <c r="M20" s="520">
        <v>6</v>
      </c>
      <c r="N20" s="520">
        <v>110</v>
      </c>
      <c r="O20" s="520">
        <v>0</v>
      </c>
      <c r="P20" s="520">
        <v>0</v>
      </c>
      <c r="Q20" s="520">
        <v>0</v>
      </c>
      <c r="R20" s="520">
        <v>0</v>
      </c>
      <c r="S20" s="520">
        <v>0</v>
      </c>
      <c r="T20" s="520">
        <v>0</v>
      </c>
      <c r="U20" s="520">
        <v>0</v>
      </c>
      <c r="V20" s="404">
        <v>0</v>
      </c>
      <c r="W20" s="543">
        <f t="shared" si="0"/>
        <v>0</v>
      </c>
      <c r="X20" s="316">
        <f>'מיקום התיאטרון'!G25</f>
        <v>0.25</v>
      </c>
      <c r="Y20" s="338">
        <f t="array" ref="Y20">IFERROR(IF(AI20&lt;&gt;1,"",MAX(0,(AX20*((SUMPRODUCT(F20:M20,TRANSPOSE(AN$6:AN$13))+SUMPRODUCT(N20:U20,TRANSPOSE(AN$20:AN$27)))*X20)))*(1-SUM(C20:E20)/3)),"")</f>
        <v>6.75</v>
      </c>
      <c r="Z20" s="317">
        <f t="shared" si="1"/>
        <v>8.1430695089397315E-4</v>
      </c>
      <c r="AA20" s="302">
        <f t="shared" si="15"/>
        <v>1</v>
      </c>
      <c r="AB20" s="302">
        <f t="shared" si="16"/>
        <v>1</v>
      </c>
      <c r="AC20" s="302">
        <f t="shared" si="17"/>
        <v>1</v>
      </c>
      <c r="AD20" s="302">
        <f t="shared" si="18"/>
        <v>1</v>
      </c>
      <c r="AE20" s="302">
        <f t="shared" si="19"/>
        <v>1</v>
      </c>
      <c r="AF20" s="302">
        <f t="shared" si="20"/>
        <v>1</v>
      </c>
      <c r="AG20" s="302">
        <f t="shared" si="21"/>
        <v>1</v>
      </c>
      <c r="AH20" s="302">
        <f t="shared" si="22"/>
        <v>1</v>
      </c>
      <c r="AI20" s="302">
        <f t="array" ref="AI20">IF(OR(AA20:AH20&lt;&gt;1),0,1)</f>
        <v>1</v>
      </c>
      <c r="AJ20" s="318">
        <f t="shared" si="10"/>
        <v>18</v>
      </c>
      <c r="AL20" s="330" t="str">
        <f>פרמטרים!A37</f>
        <v>תל אביב והסביבה (עד 30 ק"מ) - סייוג 1</v>
      </c>
      <c r="AM20" s="321" t="str">
        <f>פרמטרים!B37</f>
        <v>E1</v>
      </c>
      <c r="AN20" s="331">
        <f>פרמטרים!C37</f>
        <v>0</v>
      </c>
      <c r="AO20" s="302" t="str">
        <f t="shared" si="23"/>
        <v>המוסד זכאי לתוספת</v>
      </c>
      <c r="AP20" s="302" t="str">
        <f t="shared" si="11"/>
        <v>המוסד נמנע מקיום הרצות ולכן יש להפחית מניקודו</v>
      </c>
      <c r="AR20" s="303"/>
      <c r="AT20" s="302">
        <f t="shared" si="24"/>
        <v>0</v>
      </c>
      <c r="AU20" s="302">
        <f t="shared" si="25"/>
        <v>0</v>
      </c>
      <c r="AV20" s="302">
        <f t="shared" si="26"/>
        <v>0</v>
      </c>
      <c r="AW20" s="302">
        <f t="shared" si="27"/>
        <v>1</v>
      </c>
      <c r="AX20" s="320">
        <f t="shared" si="28"/>
        <v>1</v>
      </c>
      <c r="AZ20" s="302">
        <f t="shared" si="29"/>
        <v>1</v>
      </c>
      <c r="BA20" s="302">
        <f t="shared" si="29"/>
        <v>0</v>
      </c>
    </row>
    <row r="21" spans="1:53" ht="15.75">
      <c r="A21" s="78">
        <f>'מיקום התיאטרון'!A26</f>
        <v>16</v>
      </c>
      <c r="B21" s="403" t="str">
        <f>'מיקום התיאטרון'!B26</f>
        <v/>
      </c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404"/>
      <c r="W21" s="543" t="str">
        <f t="shared" si="0"/>
        <v/>
      </c>
      <c r="X21" s="316" t="str">
        <f>'מיקום התיאטרון'!G26</f>
        <v/>
      </c>
      <c r="Y21" s="338" t="str">
        <f t="array" ref="Y21">IFERROR(IF(AI21&lt;&gt;1,"",MAX(0,(AX21*((SUMPRODUCT(F21:M21,TRANSPOSE(AN$6:AN$13))+SUMPRODUCT(N21:U21,TRANSPOSE(AN$20:AN$27)))*X21)))*(1-SUM(C21:E21)/3)),"")</f>
        <v/>
      </c>
      <c r="Z21" s="317" t="str">
        <f t="shared" si="1"/>
        <v/>
      </c>
      <c r="AA21" s="302">
        <f t="shared" si="15"/>
        <v>0</v>
      </c>
      <c r="AB21" s="302">
        <f t="shared" si="16"/>
        <v>0</v>
      </c>
      <c r="AC21" s="302">
        <f t="shared" si="17"/>
        <v>0</v>
      </c>
      <c r="AD21" s="302">
        <f t="shared" si="18"/>
        <v>0</v>
      </c>
      <c r="AE21" s="302">
        <f t="shared" si="19"/>
        <v>0</v>
      </c>
      <c r="AF21" s="302">
        <f t="shared" si="20"/>
        <v>0</v>
      </c>
      <c r="AG21" s="302">
        <f t="shared" si="21"/>
        <v>0</v>
      </c>
      <c r="AH21" s="302">
        <f t="shared" si="22"/>
        <v>0</v>
      </c>
      <c r="AI21" s="302">
        <f t="array" ref="AI21">IF(OR(AA21:AH21&lt;&gt;1),0,1)</f>
        <v>0</v>
      </c>
      <c r="AJ21" s="318">
        <f t="shared" si="10"/>
        <v>0</v>
      </c>
      <c r="AL21" s="330" t="str">
        <f>פרמטרים!A38</f>
        <v>תל אביב והסביבה (עד 30 ק"מ) - סייוג 2</v>
      </c>
      <c r="AM21" s="321" t="str">
        <f>פרמטרים!B38</f>
        <v>E2</v>
      </c>
      <c r="AN21" s="331">
        <f>פרמטרים!C38</f>
        <v>0.5</v>
      </c>
      <c r="AO21" s="302" t="str">
        <f t="shared" si="23"/>
        <v/>
      </c>
      <c r="AP21" s="302" t="str">
        <f t="shared" si="11"/>
        <v/>
      </c>
      <c r="AR21" s="303"/>
      <c r="AT21" s="302">
        <f t="shared" si="24"/>
        <v>0</v>
      </c>
      <c r="AU21" s="302">
        <f t="shared" si="25"/>
        <v>0</v>
      </c>
      <c r="AV21" s="302">
        <f t="shared" si="26"/>
        <v>0</v>
      </c>
      <c r="AW21" s="302" t="str">
        <f t="shared" si="27"/>
        <v/>
      </c>
      <c r="AX21" s="320" t="str">
        <f t="shared" si="28"/>
        <v/>
      </c>
      <c r="AZ21" s="302" t="str">
        <f t="shared" si="29"/>
        <v/>
      </c>
      <c r="BA21" s="302" t="str">
        <f t="shared" si="29"/>
        <v/>
      </c>
    </row>
    <row r="22" spans="1:53" ht="15.75">
      <c r="A22" s="78">
        <f>'מיקום התיאטרון'!A27</f>
        <v>17</v>
      </c>
      <c r="B22" s="403" t="str">
        <f>'מיקום התיאטרון'!B27</f>
        <v>אינקובטור</v>
      </c>
      <c r="C22" s="315">
        <v>0</v>
      </c>
      <c r="D22" s="315">
        <v>0</v>
      </c>
      <c r="E22" s="315">
        <v>0</v>
      </c>
      <c r="F22" s="520">
        <v>0</v>
      </c>
      <c r="G22" s="520">
        <v>0</v>
      </c>
      <c r="H22" s="520">
        <v>4</v>
      </c>
      <c r="I22" s="520">
        <v>0</v>
      </c>
      <c r="J22" s="520">
        <v>78</v>
      </c>
      <c r="K22" s="520">
        <v>2</v>
      </c>
      <c r="L22" s="520">
        <v>17</v>
      </c>
      <c r="M22" s="520">
        <v>9</v>
      </c>
      <c r="N22" s="520">
        <v>0</v>
      </c>
      <c r="O22" s="520">
        <v>0</v>
      </c>
      <c r="P22" s="520">
        <v>0</v>
      </c>
      <c r="Q22" s="520">
        <v>0</v>
      </c>
      <c r="R22" s="520">
        <v>0</v>
      </c>
      <c r="S22" s="520">
        <v>113</v>
      </c>
      <c r="T22" s="520">
        <v>0</v>
      </c>
      <c r="U22" s="520">
        <v>0</v>
      </c>
      <c r="V22" s="404">
        <v>0</v>
      </c>
      <c r="W22" s="543">
        <f t="shared" si="0"/>
        <v>0</v>
      </c>
      <c r="X22" s="316">
        <f>'מיקום התיאטרון'!G27</f>
        <v>0.25</v>
      </c>
      <c r="Y22" s="338">
        <f t="array" ref="Y22">IFERROR(IF(AI22&lt;&gt;1,"",MAX(0,(AX22*((SUMPRODUCT(F22:M22,TRANSPOSE(AN$6:AN$13))+SUMPRODUCT(N22:U22,TRANSPOSE(AN$20:AN$27)))*X22)))*(1-SUM(C22:E22)/3)),"")</f>
        <v>90.625</v>
      </c>
      <c r="Z22" s="317">
        <f t="shared" si="1"/>
        <v>1.0932824803669083E-2</v>
      </c>
      <c r="AA22" s="302">
        <f t="shared" si="15"/>
        <v>1</v>
      </c>
      <c r="AB22" s="302">
        <f t="shared" si="16"/>
        <v>1</v>
      </c>
      <c r="AC22" s="302">
        <f t="shared" si="17"/>
        <v>1</v>
      </c>
      <c r="AD22" s="302">
        <f t="shared" si="18"/>
        <v>1</v>
      </c>
      <c r="AE22" s="302">
        <f t="shared" si="19"/>
        <v>1</v>
      </c>
      <c r="AF22" s="302">
        <f t="shared" si="20"/>
        <v>1</v>
      </c>
      <c r="AG22" s="302">
        <f t="shared" si="21"/>
        <v>1</v>
      </c>
      <c r="AH22" s="302">
        <f t="shared" si="22"/>
        <v>1</v>
      </c>
      <c r="AI22" s="302">
        <f t="array" ref="AI22">IF(OR(AA22:AH22&lt;&gt;1),0,1)</f>
        <v>1</v>
      </c>
      <c r="AJ22" s="318">
        <f t="shared" si="10"/>
        <v>110</v>
      </c>
      <c r="AL22" s="332" t="str">
        <f>פרמטרים!A39</f>
        <v>30 עד 59 ק"מ מתל אביב - סייוג 1</v>
      </c>
      <c r="AM22" s="321" t="str">
        <f>פרמטרים!B39</f>
        <v>F1</v>
      </c>
      <c r="AN22" s="331">
        <f>פרמטרים!C39</f>
        <v>0.5</v>
      </c>
      <c r="AO22" s="302" t="str">
        <f t="shared" si="23"/>
        <v>המוסד זכאי לתוספת</v>
      </c>
      <c r="AP22" s="302" t="str">
        <f t="shared" si="11"/>
        <v>המוסד נמנע מקיום הרצות ולכן יש להפחית מניקודו</v>
      </c>
      <c r="AR22" s="303"/>
      <c r="AT22" s="302">
        <f t="shared" si="24"/>
        <v>0</v>
      </c>
      <c r="AU22" s="302">
        <f t="shared" si="25"/>
        <v>0</v>
      </c>
      <c r="AV22" s="302">
        <f t="shared" si="26"/>
        <v>0</v>
      </c>
      <c r="AW22" s="302">
        <f t="shared" si="27"/>
        <v>1</v>
      </c>
      <c r="AX22" s="320">
        <f t="shared" si="28"/>
        <v>1</v>
      </c>
      <c r="AZ22" s="302">
        <f t="shared" si="29"/>
        <v>1</v>
      </c>
      <c r="BA22" s="302">
        <f t="shared" si="29"/>
        <v>0</v>
      </c>
    </row>
    <row r="23" spans="1:53" ht="15.75">
      <c r="A23" s="78">
        <f>'מיקום התיאטרון'!A28</f>
        <v>18</v>
      </c>
      <c r="B23" s="403" t="str">
        <f>'מיקום התיאטרון'!B28</f>
        <v>אורנה פורת</v>
      </c>
      <c r="C23" s="315">
        <v>0</v>
      </c>
      <c r="D23" s="315">
        <v>0</v>
      </c>
      <c r="E23" s="315">
        <v>0</v>
      </c>
      <c r="F23" s="520">
        <v>590</v>
      </c>
      <c r="G23" s="520">
        <v>53</v>
      </c>
      <c r="H23" s="520">
        <v>181</v>
      </c>
      <c r="I23" s="520">
        <v>183</v>
      </c>
      <c r="J23" s="520">
        <v>214</v>
      </c>
      <c r="K23" s="520">
        <v>184</v>
      </c>
      <c r="L23" s="520">
        <v>126</v>
      </c>
      <c r="M23" s="520">
        <v>199</v>
      </c>
      <c r="N23" s="520">
        <v>337</v>
      </c>
      <c r="O23" s="520">
        <v>0</v>
      </c>
      <c r="P23" s="520">
        <v>0</v>
      </c>
      <c r="Q23" s="520">
        <v>0</v>
      </c>
      <c r="R23" s="520">
        <v>0</v>
      </c>
      <c r="S23" s="520">
        <v>0</v>
      </c>
      <c r="T23" s="520">
        <v>0</v>
      </c>
      <c r="U23" s="520">
        <v>0</v>
      </c>
      <c r="V23" s="404">
        <v>1</v>
      </c>
      <c r="W23" s="543">
        <f t="shared" si="0"/>
        <v>1</v>
      </c>
      <c r="X23" s="316">
        <f>'מיקום התיאטרון'!G28</f>
        <v>0.6</v>
      </c>
      <c r="Y23" s="338">
        <f t="array" ref="Y23">IFERROR(IF(AI23&lt;&gt;1,"",MAX(0,(AX23*((SUMPRODUCT(F23:M23,TRANSPOSE(AN$6:AN$13))+SUMPRODUCT(N23:U23,TRANSPOSE(AN$20:AN$27)))*X23)))*(1-SUM(C23:E23)/3)),"")</f>
        <v>1100.8800000000001</v>
      </c>
      <c r="Z23" s="317">
        <f t="shared" si="1"/>
        <v>0.13280803497780108</v>
      </c>
      <c r="AA23" s="302">
        <f t="shared" si="15"/>
        <v>1</v>
      </c>
      <c r="AB23" s="302">
        <f t="shared" si="16"/>
        <v>1</v>
      </c>
      <c r="AC23" s="302">
        <f t="shared" si="17"/>
        <v>1</v>
      </c>
      <c r="AD23" s="302">
        <f t="shared" si="18"/>
        <v>1</v>
      </c>
      <c r="AE23" s="302">
        <f t="shared" si="19"/>
        <v>1</v>
      </c>
      <c r="AF23" s="302">
        <f t="shared" si="20"/>
        <v>1</v>
      </c>
      <c r="AG23" s="302">
        <f t="shared" si="21"/>
        <v>1</v>
      </c>
      <c r="AH23" s="302">
        <f t="shared" si="22"/>
        <v>1</v>
      </c>
      <c r="AI23" s="302">
        <f t="array" ref="AI23">IF(OR(AA23:AH23&lt;&gt;1),0,1)</f>
        <v>1</v>
      </c>
      <c r="AJ23" s="318">
        <f t="shared" si="10"/>
        <v>1730</v>
      </c>
      <c r="AL23" s="332" t="str">
        <f>פרמטרים!A40</f>
        <v>30 עד 59 ק"מ מתל אביב - סייוג 2</v>
      </c>
      <c r="AM23" s="321" t="str">
        <f>פרמטרים!B40</f>
        <v>F2</v>
      </c>
      <c r="AN23" s="331">
        <f>פרמטרים!C40</f>
        <v>1</v>
      </c>
      <c r="AO23" s="302" t="str">
        <f t="shared" si="23"/>
        <v>המוסד זכאי לתוספת</v>
      </c>
      <c r="AP23" s="302" t="str">
        <f t="shared" si="11"/>
        <v>המוסד נמנע מקיום הרצות ולכן יש להפחית מניקודו</v>
      </c>
      <c r="AR23" s="303"/>
      <c r="AT23" s="302">
        <f t="shared" si="24"/>
        <v>0</v>
      </c>
      <c r="AU23" s="302">
        <f t="shared" si="25"/>
        <v>0</v>
      </c>
      <c r="AV23" s="302">
        <f t="shared" si="26"/>
        <v>0</v>
      </c>
      <c r="AW23" s="302">
        <f t="shared" si="27"/>
        <v>1.1000000000000001</v>
      </c>
      <c r="AX23" s="320">
        <f t="shared" si="28"/>
        <v>1.1000000000000001</v>
      </c>
      <c r="AZ23" s="302">
        <f t="shared" si="29"/>
        <v>1</v>
      </c>
      <c r="BA23" s="302">
        <f t="shared" si="29"/>
        <v>0</v>
      </c>
    </row>
    <row r="24" spans="1:53" ht="15.75">
      <c r="A24" s="78">
        <f>'מיקום התיאטרון'!A29</f>
        <v>19</v>
      </c>
      <c r="B24" s="403" t="str">
        <f>'מיקום התיאטרון'!B29</f>
        <v>ארצי לנוער</v>
      </c>
      <c r="C24" s="315">
        <v>0</v>
      </c>
      <c r="D24" s="315">
        <v>0</v>
      </c>
      <c r="E24" s="315">
        <v>0</v>
      </c>
      <c r="F24" s="520">
        <v>468</v>
      </c>
      <c r="G24" s="520">
        <v>33</v>
      </c>
      <c r="H24" s="520">
        <v>211</v>
      </c>
      <c r="I24" s="520">
        <v>166</v>
      </c>
      <c r="J24" s="520">
        <v>123</v>
      </c>
      <c r="K24" s="520">
        <v>119</v>
      </c>
      <c r="L24" s="520">
        <v>90</v>
      </c>
      <c r="M24" s="520">
        <v>153</v>
      </c>
      <c r="N24" s="520">
        <v>87</v>
      </c>
      <c r="O24" s="520">
        <v>0</v>
      </c>
      <c r="P24" s="520">
        <v>0</v>
      </c>
      <c r="Q24" s="520">
        <v>0</v>
      </c>
      <c r="R24" s="520">
        <v>0</v>
      </c>
      <c r="S24" s="520">
        <v>0</v>
      </c>
      <c r="T24" s="520">
        <v>0</v>
      </c>
      <c r="U24" s="520">
        <v>0</v>
      </c>
      <c r="V24" s="404">
        <v>1</v>
      </c>
      <c r="W24" s="543">
        <f t="shared" si="0"/>
        <v>1</v>
      </c>
      <c r="X24" s="316">
        <f>'מיקום התיאטרון'!G29</f>
        <v>0.6</v>
      </c>
      <c r="Y24" s="338">
        <f t="array" ref="Y24">IFERROR(IF(AI24&lt;&gt;1,"",MAX(0,(AX24*((SUMPRODUCT(F24:M24,TRANSPOSE(AN$6:AN$13))+SUMPRODUCT(N24:U24,TRANSPOSE(AN$20:AN$27)))*X24)))*(1-SUM(C24:E24)/3)),"")</f>
        <v>820.38</v>
      </c>
      <c r="Z24" s="317">
        <f t="shared" si="1"/>
        <v>9.8969057240651512E-2</v>
      </c>
      <c r="AA24" s="302">
        <f t="shared" si="15"/>
        <v>1</v>
      </c>
      <c r="AB24" s="302">
        <f t="shared" si="16"/>
        <v>1</v>
      </c>
      <c r="AC24" s="302">
        <f t="shared" si="17"/>
        <v>1</v>
      </c>
      <c r="AD24" s="302">
        <f t="shared" si="18"/>
        <v>1</v>
      </c>
      <c r="AE24" s="302">
        <f t="shared" si="19"/>
        <v>1</v>
      </c>
      <c r="AF24" s="302">
        <f t="shared" si="20"/>
        <v>1</v>
      </c>
      <c r="AG24" s="302">
        <f t="shared" si="21"/>
        <v>1</v>
      </c>
      <c r="AH24" s="302">
        <f t="shared" si="22"/>
        <v>1</v>
      </c>
      <c r="AI24" s="302">
        <f t="array" ref="AI24">IF(OR(AA24:AH24&lt;&gt;1),0,1)</f>
        <v>1</v>
      </c>
      <c r="AJ24" s="318">
        <f t="shared" si="10"/>
        <v>1363</v>
      </c>
      <c r="AL24" s="332" t="str">
        <f>פרמטרים!A41</f>
        <v>60 עד 100 ק"מ מתל אביב - סיווג 1</v>
      </c>
      <c r="AM24" s="321" t="str">
        <f>פרמטרים!B41</f>
        <v>G1</v>
      </c>
      <c r="AN24" s="331">
        <f>פרמטרים!C41</f>
        <v>1</v>
      </c>
      <c r="AO24" s="302" t="str">
        <f t="shared" si="23"/>
        <v>המוסד זכאי לתוספת</v>
      </c>
      <c r="AP24" s="302" t="str">
        <f t="shared" si="11"/>
        <v>המוסד נמנע מקיום הרצות ולכן יש להפחית מניקודו</v>
      </c>
      <c r="AR24" s="303"/>
      <c r="AT24" s="302">
        <f t="shared" si="24"/>
        <v>0</v>
      </c>
      <c r="AU24" s="302">
        <f t="shared" si="25"/>
        <v>0</v>
      </c>
      <c r="AV24" s="302">
        <f t="shared" si="26"/>
        <v>0</v>
      </c>
      <c r="AW24" s="302">
        <f t="shared" si="27"/>
        <v>1.1000000000000001</v>
      </c>
      <c r="AX24" s="320">
        <f t="shared" si="28"/>
        <v>1.1000000000000001</v>
      </c>
      <c r="AZ24" s="302">
        <f t="shared" si="29"/>
        <v>1</v>
      </c>
      <c r="BA24" s="302">
        <f t="shared" si="29"/>
        <v>0</v>
      </c>
    </row>
    <row r="25" spans="1:53" ht="15.75">
      <c r="A25" s="78">
        <f>'מיקום התיאטרון'!A30</f>
        <v>20</v>
      </c>
      <c r="B25" s="403" t="str">
        <f>'מיקום התיאטרון'!B30</f>
        <v>הקיבוץ</v>
      </c>
      <c r="C25" s="315">
        <v>0</v>
      </c>
      <c r="D25" s="315">
        <v>0</v>
      </c>
      <c r="E25" s="315">
        <v>0</v>
      </c>
      <c r="F25" s="520">
        <v>151</v>
      </c>
      <c r="G25" s="520">
        <v>14</v>
      </c>
      <c r="H25" s="520">
        <v>54</v>
      </c>
      <c r="I25" s="520">
        <v>40</v>
      </c>
      <c r="J25" s="520">
        <v>41</v>
      </c>
      <c r="K25" s="520">
        <v>30</v>
      </c>
      <c r="L25" s="520">
        <v>21</v>
      </c>
      <c r="M25" s="520">
        <v>32</v>
      </c>
      <c r="N25" s="520">
        <v>66</v>
      </c>
      <c r="O25" s="520">
        <v>0</v>
      </c>
      <c r="P25" s="520">
        <v>0</v>
      </c>
      <c r="Q25" s="520">
        <v>0</v>
      </c>
      <c r="R25" s="520">
        <v>0</v>
      </c>
      <c r="S25" s="520">
        <v>0</v>
      </c>
      <c r="T25" s="520">
        <v>0</v>
      </c>
      <c r="U25" s="520">
        <v>0</v>
      </c>
      <c r="V25" s="404">
        <v>0</v>
      </c>
      <c r="W25" s="543">
        <f t="shared" si="0"/>
        <v>0</v>
      </c>
      <c r="X25" s="316">
        <f>'מיקום התיאטרון'!G30</f>
        <v>0.2</v>
      </c>
      <c r="Y25" s="338">
        <f t="array" ref="Y25">IFERROR(IF(AI25&lt;&gt;1,"",MAX(0,(AX25*((SUMPRODUCT(F25:M25,TRANSPOSE(AN$6:AN$13))+SUMPRODUCT(N25:U25,TRANSPOSE(AN$20:AN$27)))*X25)))*(1-SUM(C25:E25)/3)),"")</f>
        <v>60.5</v>
      </c>
      <c r="Z25" s="317">
        <f t="shared" si="1"/>
        <v>7.2986030413459821E-3</v>
      </c>
      <c r="AA25" s="302">
        <f t="shared" si="15"/>
        <v>1</v>
      </c>
      <c r="AB25" s="302">
        <f t="shared" si="16"/>
        <v>1</v>
      </c>
      <c r="AC25" s="302">
        <f t="shared" si="17"/>
        <v>1</v>
      </c>
      <c r="AD25" s="302">
        <f t="shared" si="18"/>
        <v>1</v>
      </c>
      <c r="AE25" s="302">
        <f t="shared" si="19"/>
        <v>1</v>
      </c>
      <c r="AF25" s="302">
        <f t="shared" si="20"/>
        <v>1</v>
      </c>
      <c r="AG25" s="302">
        <f t="shared" si="21"/>
        <v>1</v>
      </c>
      <c r="AH25" s="302">
        <f t="shared" si="22"/>
        <v>1</v>
      </c>
      <c r="AI25" s="302">
        <f t="array" ref="AI25">IF(OR(AA25:AH25&lt;&gt;1),0,1)</f>
        <v>1</v>
      </c>
      <c r="AJ25" s="318">
        <f t="shared" si="10"/>
        <v>383</v>
      </c>
      <c r="AL25" s="332" t="str">
        <f>פרמטרים!A42</f>
        <v>60 עד 100 ק"מ מתל אביב - סיווג 2</v>
      </c>
      <c r="AM25" s="321" t="str">
        <f>פרמטרים!B42</f>
        <v>G2</v>
      </c>
      <c r="AN25" s="331">
        <f>פרמטרים!C42</f>
        <v>2</v>
      </c>
      <c r="AO25" s="302" t="str">
        <f t="shared" si="23"/>
        <v>המוסד זכאי לתוספת</v>
      </c>
      <c r="AP25" s="302" t="str">
        <f t="shared" si="11"/>
        <v>המוסד נמנע מקיום הרצות ולכן יש להפחית מניקודו</v>
      </c>
      <c r="AR25" s="303"/>
      <c r="AT25" s="302">
        <f t="shared" si="24"/>
        <v>0</v>
      </c>
      <c r="AU25" s="302">
        <f t="shared" si="25"/>
        <v>0</v>
      </c>
      <c r="AV25" s="302">
        <f t="shared" si="26"/>
        <v>0</v>
      </c>
      <c r="AW25" s="302">
        <f t="shared" si="27"/>
        <v>1</v>
      </c>
      <c r="AX25" s="320">
        <f t="shared" si="28"/>
        <v>1</v>
      </c>
      <c r="AZ25" s="302">
        <f t="shared" si="29"/>
        <v>1</v>
      </c>
      <c r="BA25" s="302">
        <f t="shared" si="29"/>
        <v>0</v>
      </c>
    </row>
    <row r="26" spans="1:53" ht="15.75">
      <c r="A26" s="78">
        <f>'מיקום התיאטרון'!A31</f>
        <v>21</v>
      </c>
      <c r="B26" s="403" t="str">
        <f>'מיקום התיאטרון'!B31</f>
        <v>הקרון</v>
      </c>
      <c r="C26" s="315">
        <v>0</v>
      </c>
      <c r="D26" s="315">
        <v>0</v>
      </c>
      <c r="E26" s="315">
        <v>0</v>
      </c>
      <c r="F26" s="520">
        <v>11</v>
      </c>
      <c r="G26" s="520">
        <v>12</v>
      </c>
      <c r="H26" s="520">
        <v>30</v>
      </c>
      <c r="I26" s="520">
        <v>23</v>
      </c>
      <c r="J26" s="520">
        <v>151</v>
      </c>
      <c r="K26" s="520">
        <v>49</v>
      </c>
      <c r="L26" s="520">
        <v>84</v>
      </c>
      <c r="M26" s="520">
        <v>93</v>
      </c>
      <c r="N26" s="520">
        <v>0</v>
      </c>
      <c r="O26" s="520">
        <v>0</v>
      </c>
      <c r="P26" s="520">
        <v>0</v>
      </c>
      <c r="Q26" s="520">
        <v>0</v>
      </c>
      <c r="R26" s="520">
        <v>0</v>
      </c>
      <c r="S26" s="520">
        <v>412</v>
      </c>
      <c r="T26" s="520">
        <v>0</v>
      </c>
      <c r="U26" s="520">
        <v>0</v>
      </c>
      <c r="V26" s="404">
        <v>1</v>
      </c>
      <c r="W26" s="543">
        <f t="shared" si="0"/>
        <v>1</v>
      </c>
      <c r="X26" s="316">
        <f>'מיקום התיאטרון'!G31</f>
        <v>0.2</v>
      </c>
      <c r="Y26" s="338">
        <f t="array" ref="Y26">IFERROR(IF(AI26&lt;&gt;1,"",MAX(0,(AX26*((SUMPRODUCT(F26:M26,TRANSPOSE(AN$6:AN$13))+SUMPRODUCT(N26:U26,TRANSPOSE(AN$20:AN$27)))*X26)))*(1-SUM(C26:E26)/3)),"")</f>
        <v>334.84000000000009</v>
      </c>
      <c r="Z26" s="317">
        <f t="shared" si="1"/>
        <v>4.0394450287013044E-2</v>
      </c>
      <c r="AA26" s="302">
        <f t="shared" si="15"/>
        <v>1</v>
      </c>
      <c r="AB26" s="302">
        <f t="shared" si="16"/>
        <v>1</v>
      </c>
      <c r="AC26" s="302">
        <f t="shared" si="17"/>
        <v>1</v>
      </c>
      <c r="AD26" s="302">
        <f t="shared" si="18"/>
        <v>1</v>
      </c>
      <c r="AE26" s="302">
        <f t="shared" si="19"/>
        <v>1</v>
      </c>
      <c r="AF26" s="302">
        <f t="shared" si="20"/>
        <v>1</v>
      </c>
      <c r="AG26" s="302">
        <f t="shared" si="21"/>
        <v>1</v>
      </c>
      <c r="AH26" s="302">
        <f t="shared" si="22"/>
        <v>1</v>
      </c>
      <c r="AI26" s="302">
        <f t="array" ref="AI26">IF(OR(AA26:AH26&lt;&gt;1),0,1)</f>
        <v>1</v>
      </c>
      <c r="AJ26" s="318">
        <f t="shared" si="10"/>
        <v>453</v>
      </c>
      <c r="AL26" s="332" t="str">
        <f>פרמטרים!A43</f>
        <v>מעל 100 ק"מ מתל אביב - סייוג 1</v>
      </c>
      <c r="AM26" s="321" t="str">
        <f>פרמטרים!B43</f>
        <v>H1</v>
      </c>
      <c r="AN26" s="331">
        <f>פרמטרים!C43</f>
        <v>1.5</v>
      </c>
      <c r="AO26" s="302" t="str">
        <f t="shared" si="23"/>
        <v>המוסד זכאי לתוספת</v>
      </c>
      <c r="AP26" s="302" t="str">
        <f t="shared" si="11"/>
        <v>המוסד נמנע מקיום הרצות ולכן יש להפחית מניקודו</v>
      </c>
      <c r="AR26" s="303"/>
      <c r="AT26" s="302">
        <f t="shared" si="24"/>
        <v>0</v>
      </c>
      <c r="AU26" s="302">
        <f t="shared" si="25"/>
        <v>0</v>
      </c>
      <c r="AV26" s="302">
        <f t="shared" si="26"/>
        <v>0</v>
      </c>
      <c r="AW26" s="302">
        <f t="shared" si="27"/>
        <v>1.1000000000000001</v>
      </c>
      <c r="AX26" s="320">
        <f t="shared" si="28"/>
        <v>1.1000000000000001</v>
      </c>
      <c r="AZ26" s="302">
        <f t="shared" si="29"/>
        <v>1</v>
      </c>
      <c r="BA26" s="302">
        <f t="shared" si="29"/>
        <v>0</v>
      </c>
    </row>
    <row r="27" spans="1:53" ht="16.5" thickBot="1">
      <c r="A27" s="78">
        <f>'מיקום התיאטרון'!A32</f>
        <v>22</v>
      </c>
      <c r="B27" s="403" t="str">
        <f>'מיקום התיאטרון'!B32</f>
        <v>בית הגפן</v>
      </c>
      <c r="C27" s="315">
        <v>0</v>
      </c>
      <c r="D27" s="315">
        <v>0</v>
      </c>
      <c r="E27" s="315">
        <v>0</v>
      </c>
      <c r="F27" s="520">
        <v>3</v>
      </c>
      <c r="G27" s="520">
        <v>34</v>
      </c>
      <c r="H27" s="520">
        <v>3</v>
      </c>
      <c r="I27" s="520">
        <v>107</v>
      </c>
      <c r="J27" s="520">
        <v>0</v>
      </c>
      <c r="K27" s="520">
        <v>49</v>
      </c>
      <c r="L27" s="520">
        <v>22</v>
      </c>
      <c r="M27" s="520">
        <v>8</v>
      </c>
      <c r="N27" s="520">
        <v>0</v>
      </c>
      <c r="O27" s="520">
        <v>0</v>
      </c>
      <c r="P27" s="520">
        <v>0</v>
      </c>
      <c r="Q27" s="520">
        <v>0</v>
      </c>
      <c r="R27" s="520">
        <v>38</v>
      </c>
      <c r="S27" s="520">
        <v>0</v>
      </c>
      <c r="T27" s="520">
        <v>0</v>
      </c>
      <c r="U27" s="520">
        <v>0</v>
      </c>
      <c r="V27" s="404">
        <v>0</v>
      </c>
      <c r="W27" s="543">
        <f t="shared" si="0"/>
        <v>0</v>
      </c>
      <c r="X27" s="316">
        <f>'מיקום התיאטרון'!G32</f>
        <v>0.2</v>
      </c>
      <c r="Y27" s="338">
        <f t="array" ref="Y27">IFERROR(IF(AI27&lt;&gt;1,"",MAX(0,(AX27*((SUMPRODUCT(F27:M27,TRANSPOSE(AN$6:AN$13))+SUMPRODUCT(N27:U27,TRANSPOSE(AN$20:AN$27)))*X27)))*(1-SUM(C27:E27)/3)),"")</f>
        <v>63.7</v>
      </c>
      <c r="Z27" s="317">
        <f t="shared" si="1"/>
        <v>7.6846448551031246E-3</v>
      </c>
      <c r="AA27" s="302">
        <f t="shared" si="15"/>
        <v>1</v>
      </c>
      <c r="AB27" s="302">
        <f t="shared" si="16"/>
        <v>1</v>
      </c>
      <c r="AC27" s="302">
        <f t="shared" si="17"/>
        <v>1</v>
      </c>
      <c r="AD27" s="302">
        <f t="shared" si="18"/>
        <v>1</v>
      </c>
      <c r="AE27" s="302">
        <f t="shared" si="19"/>
        <v>1</v>
      </c>
      <c r="AF27" s="302">
        <f t="shared" si="20"/>
        <v>1</v>
      </c>
      <c r="AG27" s="302">
        <f t="shared" si="21"/>
        <v>1</v>
      </c>
      <c r="AH27" s="302">
        <f t="shared" si="22"/>
        <v>1</v>
      </c>
      <c r="AI27" s="302">
        <f t="array" ref="AI27">IF(OR(AA27:AH27&lt;&gt;1),0,1)</f>
        <v>1</v>
      </c>
      <c r="AJ27" s="318">
        <f t="shared" si="10"/>
        <v>226</v>
      </c>
      <c r="AL27" s="324" t="str">
        <f>פרמטרים!A44</f>
        <v>מעל 100 ק"מ מתל אביב - סייוג 2</v>
      </c>
      <c r="AM27" s="333" t="str">
        <f>פרמטרים!B44</f>
        <v>H2</v>
      </c>
      <c r="AN27" s="334">
        <f>פרמטרים!C44</f>
        <v>3</v>
      </c>
      <c r="AO27" s="302" t="str">
        <f t="shared" si="23"/>
        <v>המוסד זכאי לתוספת</v>
      </c>
      <c r="AP27" s="302" t="str">
        <f t="shared" si="11"/>
        <v>המוסד נמנע מקיום הרצות ולכן יש להפחית מניקודו</v>
      </c>
      <c r="AR27" s="303"/>
      <c r="AT27" s="302">
        <f t="shared" si="24"/>
        <v>0</v>
      </c>
      <c r="AU27" s="302">
        <f t="shared" si="25"/>
        <v>0</v>
      </c>
      <c r="AV27" s="302">
        <f t="shared" si="26"/>
        <v>0</v>
      </c>
      <c r="AW27" s="302">
        <f t="shared" si="27"/>
        <v>1</v>
      </c>
      <c r="AX27" s="320">
        <f t="shared" si="28"/>
        <v>1</v>
      </c>
      <c r="AZ27" s="302">
        <f t="shared" si="29"/>
        <v>1</v>
      </c>
      <c r="BA27" s="302">
        <f t="shared" si="29"/>
        <v>0</v>
      </c>
    </row>
    <row r="28" spans="1:53" ht="15.75">
      <c r="A28" s="78">
        <f>'מיקום התיאטרון'!A33</f>
        <v>23</v>
      </c>
      <c r="B28" s="403" t="str">
        <f>'מיקום התיאטרון'!B33</f>
        <v>הנפש</v>
      </c>
      <c r="C28" s="315">
        <v>0</v>
      </c>
      <c r="D28" s="315">
        <v>0</v>
      </c>
      <c r="E28" s="315">
        <v>0</v>
      </c>
      <c r="F28" s="520">
        <v>98</v>
      </c>
      <c r="G28" s="520">
        <v>8</v>
      </c>
      <c r="H28" s="520">
        <v>32</v>
      </c>
      <c r="I28" s="520">
        <v>24</v>
      </c>
      <c r="J28" s="520">
        <v>29</v>
      </c>
      <c r="K28" s="520">
        <v>34</v>
      </c>
      <c r="L28" s="520">
        <v>20</v>
      </c>
      <c r="M28" s="520">
        <v>39</v>
      </c>
      <c r="N28" s="520">
        <v>51</v>
      </c>
      <c r="O28" s="520">
        <v>0</v>
      </c>
      <c r="P28" s="520">
        <v>0</v>
      </c>
      <c r="Q28" s="520">
        <v>0</v>
      </c>
      <c r="R28" s="520">
        <v>0</v>
      </c>
      <c r="S28" s="520">
        <v>0</v>
      </c>
      <c r="T28" s="520">
        <v>0</v>
      </c>
      <c r="U28" s="520">
        <v>0</v>
      </c>
      <c r="V28" s="404">
        <v>1</v>
      </c>
      <c r="W28" s="543">
        <f t="shared" si="0"/>
        <v>1</v>
      </c>
      <c r="X28" s="316">
        <f>'מיקום התיאטרון'!G33</f>
        <v>0.2</v>
      </c>
      <c r="Y28" s="338">
        <f t="array" ref="Y28">IFERROR(IF(AI28&lt;&gt;1,"",MAX(0,(AX28*((SUMPRODUCT(F28:M28,TRANSPOSE(AN$6:AN$13))+SUMPRODUCT(N28:U28,TRANSPOSE(AN$20:AN$27)))*X28)))*(1-SUM(C28:E28)/3)),"")</f>
        <v>63.360000000000007</v>
      </c>
      <c r="Z28" s="317">
        <f t="shared" si="1"/>
        <v>7.643627912391429E-3</v>
      </c>
      <c r="AA28" s="302">
        <f t="shared" si="15"/>
        <v>1</v>
      </c>
      <c r="AB28" s="302">
        <f t="shared" si="16"/>
        <v>1</v>
      </c>
      <c r="AC28" s="302">
        <f t="shared" si="17"/>
        <v>1</v>
      </c>
      <c r="AD28" s="302">
        <f t="shared" si="18"/>
        <v>1</v>
      </c>
      <c r="AE28" s="302">
        <f t="shared" si="19"/>
        <v>1</v>
      </c>
      <c r="AF28" s="302">
        <f t="shared" si="20"/>
        <v>1</v>
      </c>
      <c r="AG28" s="302">
        <f t="shared" si="21"/>
        <v>1</v>
      </c>
      <c r="AH28" s="302">
        <f t="shared" si="22"/>
        <v>1</v>
      </c>
      <c r="AI28" s="302">
        <f t="array" ref="AI28">IF(OR(AA28:AH28&lt;&gt;1),0,1)</f>
        <v>1</v>
      </c>
      <c r="AJ28" s="318">
        <f t="shared" si="10"/>
        <v>284</v>
      </c>
      <c r="AO28" s="302" t="str">
        <f t="shared" si="23"/>
        <v>המוסד זכאי לתוספת</v>
      </c>
      <c r="AP28" s="302" t="str">
        <f t="shared" si="23"/>
        <v>המוסד נמנע מקיום הרצות ולכן יש להפחית מניקודו</v>
      </c>
      <c r="AR28" s="303"/>
      <c r="AT28" s="302">
        <f t="shared" si="24"/>
        <v>0</v>
      </c>
      <c r="AU28" s="302">
        <f t="shared" si="25"/>
        <v>0</v>
      </c>
      <c r="AV28" s="302">
        <f t="shared" si="26"/>
        <v>0</v>
      </c>
      <c r="AW28" s="302">
        <f t="shared" si="27"/>
        <v>1.1000000000000001</v>
      </c>
      <c r="AX28" s="320">
        <f t="shared" si="28"/>
        <v>1.1000000000000001</v>
      </c>
      <c r="AZ28" s="302">
        <f t="shared" si="29"/>
        <v>1</v>
      </c>
      <c r="BA28" s="302">
        <f t="shared" si="29"/>
        <v>0</v>
      </c>
    </row>
    <row r="29" spans="1:53" ht="15.75">
      <c r="A29" s="78">
        <f>'מיקום התיאטרון'!A34</f>
        <v>24</v>
      </c>
      <c r="B29" s="403" t="str">
        <f>'מיקום התיאטרון'!B34</f>
        <v>השעה</v>
      </c>
      <c r="C29" s="315">
        <v>0</v>
      </c>
      <c r="D29" s="315">
        <v>0</v>
      </c>
      <c r="E29" s="315">
        <v>0</v>
      </c>
      <c r="F29" s="520">
        <v>656</v>
      </c>
      <c r="G29" s="520">
        <v>93</v>
      </c>
      <c r="H29" s="520">
        <v>339</v>
      </c>
      <c r="I29" s="520">
        <v>209</v>
      </c>
      <c r="J29" s="520">
        <v>170</v>
      </c>
      <c r="K29" s="520">
        <v>257</v>
      </c>
      <c r="L29" s="520">
        <v>176</v>
      </c>
      <c r="M29" s="520">
        <v>254</v>
      </c>
      <c r="N29" s="520">
        <v>53</v>
      </c>
      <c r="O29" s="520">
        <v>0</v>
      </c>
      <c r="P29" s="520">
        <v>0</v>
      </c>
      <c r="Q29" s="520">
        <v>0</v>
      </c>
      <c r="R29" s="520">
        <v>0</v>
      </c>
      <c r="S29" s="520">
        <v>0</v>
      </c>
      <c r="T29" s="520">
        <v>0</v>
      </c>
      <c r="U29" s="520">
        <v>0</v>
      </c>
      <c r="V29" s="404">
        <v>1</v>
      </c>
      <c r="W29" s="543">
        <f t="shared" si="0"/>
        <v>1</v>
      </c>
      <c r="X29" s="316">
        <f>'מיקום התיאטרון'!G34</f>
        <v>0.6</v>
      </c>
      <c r="Y29" s="338">
        <f t="array" ref="Y29">IFERROR(IF(AI29&lt;&gt;1,"",MAX(0,(AX29*((SUMPRODUCT(F29:M29,TRANSPOSE(AN$6:AN$13))+SUMPRODUCT(N29:U29,TRANSPOSE(AN$20:AN$27)))*X29)))*(1-SUM(C29:E29)/3)),"")</f>
        <v>1409.1000000000001</v>
      </c>
      <c r="Z29" s="317">
        <f t="shared" si="1"/>
        <v>0.16999109992662187</v>
      </c>
      <c r="AA29" s="302">
        <f t="shared" si="15"/>
        <v>1</v>
      </c>
      <c r="AB29" s="302">
        <f t="shared" si="16"/>
        <v>1</v>
      </c>
      <c r="AC29" s="302">
        <f t="shared" si="17"/>
        <v>1</v>
      </c>
      <c r="AD29" s="302">
        <f t="shared" si="18"/>
        <v>1</v>
      </c>
      <c r="AE29" s="302">
        <f t="shared" si="19"/>
        <v>1</v>
      </c>
      <c r="AF29" s="302">
        <f t="shared" si="20"/>
        <v>1</v>
      </c>
      <c r="AG29" s="302">
        <f t="shared" si="21"/>
        <v>1</v>
      </c>
      <c r="AH29" s="302">
        <f t="shared" si="22"/>
        <v>1</v>
      </c>
      <c r="AI29" s="302">
        <f t="array" ref="AI29">IF(OR(AA29:AH29&lt;&gt;1),0,1)</f>
        <v>1</v>
      </c>
      <c r="AJ29" s="318">
        <f t="shared" si="10"/>
        <v>2154</v>
      </c>
      <c r="AO29" s="302" t="str">
        <f t="shared" si="23"/>
        <v>המוסד זכאי לתוספת</v>
      </c>
      <c r="AP29" s="302" t="str">
        <f t="shared" si="23"/>
        <v>המוסד נמנע מקיום הרצות ולכן יש להפחית מניקודו</v>
      </c>
      <c r="AR29" s="303"/>
      <c r="AT29" s="302">
        <f t="shared" si="24"/>
        <v>0</v>
      </c>
      <c r="AU29" s="302">
        <f t="shared" si="25"/>
        <v>0</v>
      </c>
      <c r="AV29" s="302">
        <f t="shared" si="26"/>
        <v>0</v>
      </c>
      <c r="AW29" s="302">
        <f t="shared" si="27"/>
        <v>1.1000000000000001</v>
      </c>
      <c r="AX29" s="320">
        <f t="shared" si="28"/>
        <v>1.1000000000000001</v>
      </c>
      <c r="AZ29" s="302">
        <f t="shared" si="29"/>
        <v>1</v>
      </c>
      <c r="BA29" s="302">
        <f t="shared" si="29"/>
        <v>0</v>
      </c>
    </row>
    <row r="30" spans="1:53" ht="15.75">
      <c r="A30" s="78">
        <f>'מיקום התיאטרון'!A35</f>
        <v>25</v>
      </c>
      <c r="B30" s="403" t="str">
        <f>'מיקום התיאטרון'!B35</f>
        <v>עדי</v>
      </c>
      <c r="C30" s="315">
        <v>0</v>
      </c>
      <c r="D30" s="315">
        <v>0</v>
      </c>
      <c r="E30" s="315">
        <v>0</v>
      </c>
      <c r="F30" s="520">
        <v>100</v>
      </c>
      <c r="G30" s="520">
        <v>6</v>
      </c>
      <c r="H30" s="520">
        <v>56</v>
      </c>
      <c r="I30" s="520">
        <v>13</v>
      </c>
      <c r="J30" s="520">
        <v>22</v>
      </c>
      <c r="K30" s="520">
        <v>18</v>
      </c>
      <c r="L30" s="520">
        <v>14</v>
      </c>
      <c r="M30" s="520">
        <v>30</v>
      </c>
      <c r="N30" s="520">
        <v>101</v>
      </c>
      <c r="O30" s="520">
        <v>0</v>
      </c>
      <c r="P30" s="520">
        <v>0</v>
      </c>
      <c r="Q30" s="520">
        <v>0</v>
      </c>
      <c r="R30" s="520">
        <v>0</v>
      </c>
      <c r="S30" s="520">
        <v>0</v>
      </c>
      <c r="T30" s="520">
        <v>0</v>
      </c>
      <c r="U30" s="520">
        <v>0</v>
      </c>
      <c r="V30" s="404">
        <v>1</v>
      </c>
      <c r="W30" s="543">
        <f t="shared" si="0"/>
        <v>1</v>
      </c>
      <c r="X30" s="316">
        <f>'מיקום התיאטרון'!G35</f>
        <v>0.2</v>
      </c>
      <c r="Y30" s="338">
        <f t="array" ref="Y30">IFERROR(IF(AI30&lt;&gt;1,"",MAX(0,(AX30*((SUMPRODUCT(F30:M30,TRANSPOSE(AN$6:AN$13))+SUMPRODUCT(N30:U30,TRANSPOSE(AN$20:AN$27)))*X30)))*(1-SUM(C30:E30)/3)),"")</f>
        <v>46.860000000000007</v>
      </c>
      <c r="Z30" s="317">
        <f t="shared" si="1"/>
        <v>5.6530998102061608E-3</v>
      </c>
      <c r="AA30" s="302">
        <f t="shared" si="15"/>
        <v>1</v>
      </c>
      <c r="AB30" s="302">
        <f t="shared" si="16"/>
        <v>1</v>
      </c>
      <c r="AC30" s="302">
        <f t="shared" si="17"/>
        <v>1</v>
      </c>
      <c r="AD30" s="302">
        <f t="shared" si="18"/>
        <v>1</v>
      </c>
      <c r="AE30" s="302">
        <f t="shared" si="19"/>
        <v>1</v>
      </c>
      <c r="AF30" s="302">
        <f t="shared" si="20"/>
        <v>1</v>
      </c>
      <c r="AG30" s="302">
        <f t="shared" si="21"/>
        <v>1</v>
      </c>
      <c r="AH30" s="302">
        <f t="shared" si="22"/>
        <v>1</v>
      </c>
      <c r="AI30" s="302">
        <f t="array" ref="AI30">IF(OR(AA30:AH30&lt;&gt;1),0,1)</f>
        <v>1</v>
      </c>
      <c r="AJ30" s="318">
        <f t="shared" si="10"/>
        <v>259</v>
      </c>
      <c r="AO30" s="302" t="str">
        <f t="shared" si="23"/>
        <v>המוסד זכאי לתוספת</v>
      </c>
      <c r="AP30" s="302" t="str">
        <f t="shared" si="23"/>
        <v>המוסד נמנע מקיום הרצות ולכן יש להפחית מניקודו</v>
      </c>
      <c r="AR30" s="303"/>
      <c r="AT30" s="302">
        <f t="shared" si="24"/>
        <v>0</v>
      </c>
      <c r="AU30" s="302">
        <f t="shared" si="25"/>
        <v>0</v>
      </c>
      <c r="AV30" s="302">
        <f t="shared" si="26"/>
        <v>0</v>
      </c>
      <c r="AW30" s="302">
        <f t="shared" si="27"/>
        <v>1.1000000000000001</v>
      </c>
      <c r="AX30" s="320">
        <f t="shared" si="28"/>
        <v>1.1000000000000001</v>
      </c>
      <c r="AZ30" s="302">
        <f t="shared" si="29"/>
        <v>1</v>
      </c>
      <c r="BA30" s="302">
        <f t="shared" si="29"/>
        <v>0</v>
      </c>
    </row>
    <row r="31" spans="1:53" ht="15.75">
      <c r="A31" s="78">
        <f>'מיקום התיאטרון'!A36</f>
        <v>26</v>
      </c>
      <c r="B31" s="403" t="str">
        <f>'מיקום התיאטרון'!B36</f>
        <v>מדייטק</v>
      </c>
      <c r="C31" s="315">
        <v>0</v>
      </c>
      <c r="D31" s="315">
        <v>0</v>
      </c>
      <c r="E31" s="315">
        <v>0</v>
      </c>
      <c r="F31" s="520">
        <v>197</v>
      </c>
      <c r="G31" s="520">
        <v>7</v>
      </c>
      <c r="H31" s="520">
        <v>116</v>
      </c>
      <c r="I31" s="520">
        <v>55</v>
      </c>
      <c r="J31" s="520">
        <v>16</v>
      </c>
      <c r="K31" s="520">
        <v>50</v>
      </c>
      <c r="L31" s="520">
        <v>85</v>
      </c>
      <c r="M31" s="520">
        <v>35</v>
      </c>
      <c r="N31" s="520">
        <v>154</v>
      </c>
      <c r="O31" s="520">
        <v>0</v>
      </c>
      <c r="P31" s="520">
        <v>0</v>
      </c>
      <c r="Q31" s="520">
        <v>0</v>
      </c>
      <c r="R31" s="520">
        <v>0</v>
      </c>
      <c r="S31" s="520">
        <v>0</v>
      </c>
      <c r="T31" s="520">
        <v>0</v>
      </c>
      <c r="U31" s="520">
        <v>0</v>
      </c>
      <c r="V31" s="404">
        <v>1</v>
      </c>
      <c r="W31" s="543">
        <f t="shared" si="0"/>
        <v>1</v>
      </c>
      <c r="X31" s="316">
        <f>'מיקום התיאטרון'!G36</f>
        <v>0.4</v>
      </c>
      <c r="Y31" s="338">
        <f t="array" ref="Y31">IFERROR(IF(AI31&lt;&gt;1,"",MAX(0,(AX31*((SUMPRODUCT(F31:M31,TRANSPOSE(AN$6:AN$13))+SUMPRODUCT(N31:U31,TRANSPOSE(AN$20:AN$27)))*X31)))*(1-SUM(C31:E31)/3)),"")</f>
        <v>204.60000000000002</v>
      </c>
      <c r="Z31" s="317">
        <f t="shared" si="1"/>
        <v>2.4682548467097321E-2</v>
      </c>
      <c r="AA31" s="302">
        <f t="shared" si="15"/>
        <v>1</v>
      </c>
      <c r="AB31" s="302">
        <f t="shared" si="16"/>
        <v>1</v>
      </c>
      <c r="AC31" s="302">
        <f t="shared" si="17"/>
        <v>1</v>
      </c>
      <c r="AD31" s="302">
        <f t="shared" si="18"/>
        <v>1</v>
      </c>
      <c r="AE31" s="302">
        <f t="shared" si="19"/>
        <v>1</v>
      </c>
      <c r="AF31" s="302">
        <f t="shared" si="20"/>
        <v>1</v>
      </c>
      <c r="AG31" s="302">
        <f t="shared" si="21"/>
        <v>1</v>
      </c>
      <c r="AH31" s="302">
        <f t="shared" si="22"/>
        <v>1</v>
      </c>
      <c r="AI31" s="302">
        <f t="array" ref="AI31">IF(OR(AA31:AH31&lt;&gt;1),0,1)</f>
        <v>1</v>
      </c>
      <c r="AJ31" s="318">
        <f t="shared" si="10"/>
        <v>561</v>
      </c>
      <c r="AO31" s="302" t="str">
        <f t="shared" si="23"/>
        <v>המוסד זכאי לתוספת</v>
      </c>
      <c r="AP31" s="302" t="str">
        <f t="shared" si="23"/>
        <v>המוסד נמנע מקיום הרצות ולכן יש להפחית מניקודו</v>
      </c>
      <c r="AR31" s="303"/>
      <c r="AT31" s="302">
        <f t="shared" si="24"/>
        <v>0</v>
      </c>
      <c r="AU31" s="302">
        <f t="shared" si="25"/>
        <v>0</v>
      </c>
      <c r="AV31" s="302">
        <f t="shared" si="26"/>
        <v>0</v>
      </c>
      <c r="AW31" s="302">
        <f t="shared" si="27"/>
        <v>1.1000000000000001</v>
      </c>
      <c r="AX31" s="320">
        <f t="shared" si="28"/>
        <v>1.1000000000000001</v>
      </c>
      <c r="AZ31" s="302">
        <f t="shared" si="29"/>
        <v>1</v>
      </c>
      <c r="BA31" s="302">
        <f t="shared" si="29"/>
        <v>0</v>
      </c>
    </row>
    <row r="32" spans="1:53" ht="15.75">
      <c r="A32" s="78">
        <f>'מיקום התיאטרון'!A37</f>
        <v>27</v>
      </c>
      <c r="B32" s="403" t="str">
        <f>'מיקום התיאטרון'!B37</f>
        <v>חני</v>
      </c>
      <c r="C32" s="315">
        <v>0</v>
      </c>
      <c r="D32" s="315">
        <v>0</v>
      </c>
      <c r="E32" s="315">
        <v>0</v>
      </c>
      <c r="F32" s="520">
        <v>62</v>
      </c>
      <c r="G32" s="520">
        <v>2</v>
      </c>
      <c r="H32" s="520">
        <v>13</v>
      </c>
      <c r="I32" s="520">
        <v>26</v>
      </c>
      <c r="J32" s="520">
        <v>25</v>
      </c>
      <c r="K32" s="520">
        <v>10</v>
      </c>
      <c r="L32" s="520">
        <v>12</v>
      </c>
      <c r="M32" s="520">
        <v>11</v>
      </c>
      <c r="N32" s="520">
        <v>41</v>
      </c>
      <c r="O32" s="520">
        <v>0</v>
      </c>
      <c r="P32" s="520">
        <v>0</v>
      </c>
      <c r="Q32" s="520">
        <v>0</v>
      </c>
      <c r="R32" s="520">
        <v>0</v>
      </c>
      <c r="S32" s="520">
        <v>0</v>
      </c>
      <c r="T32" s="520">
        <v>0</v>
      </c>
      <c r="U32" s="520">
        <v>0</v>
      </c>
      <c r="V32" s="404">
        <v>1</v>
      </c>
      <c r="W32" s="543">
        <f t="shared" si="0"/>
        <v>1</v>
      </c>
      <c r="X32" s="316">
        <f>'מיקום התיאטרון'!G37</f>
        <v>0.2</v>
      </c>
      <c r="Y32" s="338">
        <f t="array" ref="Y32">IFERROR(IF(AI32&lt;&gt;1,"",MAX(0,(AX32*((SUMPRODUCT(F32:M32,TRANSPOSE(AN$6:AN$13))+SUMPRODUCT(N32:U32,TRANSPOSE(AN$20:AN$27)))*X32)))*(1-SUM(C32:E32)/3)),"")</f>
        <v>28.490000000000006</v>
      </c>
      <c r="Z32" s="317">
        <f t="shared" si="1"/>
        <v>3.4369785231065631E-3</v>
      </c>
      <c r="AA32" s="302">
        <f t="shared" si="15"/>
        <v>1</v>
      </c>
      <c r="AB32" s="302">
        <f t="shared" si="16"/>
        <v>1</v>
      </c>
      <c r="AC32" s="302">
        <f t="shared" si="17"/>
        <v>1</v>
      </c>
      <c r="AD32" s="302">
        <f t="shared" si="18"/>
        <v>1</v>
      </c>
      <c r="AE32" s="302">
        <f t="shared" si="19"/>
        <v>1</v>
      </c>
      <c r="AF32" s="302">
        <f t="shared" si="20"/>
        <v>1</v>
      </c>
      <c r="AG32" s="302">
        <f t="shared" si="21"/>
        <v>1</v>
      </c>
      <c r="AH32" s="302">
        <f t="shared" si="22"/>
        <v>1</v>
      </c>
      <c r="AI32" s="302">
        <f t="array" ref="AI32">IF(OR(AA32:AH32&lt;&gt;1),0,1)</f>
        <v>1</v>
      </c>
      <c r="AJ32" s="318">
        <f t="shared" si="10"/>
        <v>161</v>
      </c>
      <c r="AO32" s="302" t="str">
        <f t="shared" si="23"/>
        <v>המוסד זכאי לתוספת</v>
      </c>
      <c r="AP32" s="302" t="str">
        <f t="shared" si="23"/>
        <v>המוסד נמנע מקיום הרצות ולכן יש להפחית מניקודו</v>
      </c>
      <c r="AR32" s="303"/>
      <c r="AT32" s="302">
        <f t="shared" si="24"/>
        <v>0</v>
      </c>
      <c r="AU32" s="302">
        <f t="shared" si="25"/>
        <v>0</v>
      </c>
      <c r="AV32" s="302">
        <f t="shared" si="26"/>
        <v>0</v>
      </c>
      <c r="AW32" s="302">
        <f t="shared" si="27"/>
        <v>1.1000000000000001</v>
      </c>
      <c r="AX32" s="320">
        <f t="shared" si="28"/>
        <v>1.1000000000000001</v>
      </c>
      <c r="AZ32" s="302">
        <f t="shared" si="29"/>
        <v>1</v>
      </c>
      <c r="BA32" s="302">
        <f t="shared" si="29"/>
        <v>0</v>
      </c>
    </row>
    <row r="33" spans="1:53" ht="15.75">
      <c r="A33" s="78">
        <f>'מיקום התיאטרון'!A38</f>
        <v>28</v>
      </c>
      <c r="B33" s="403" t="str">
        <f>'מיקום התיאטרון'!B38</f>
        <v xml:space="preserve">גשן </v>
      </c>
      <c r="C33" s="315">
        <v>0</v>
      </c>
      <c r="D33" s="315">
        <v>0</v>
      </c>
      <c r="E33" s="315">
        <v>0</v>
      </c>
      <c r="F33" s="520">
        <v>182</v>
      </c>
      <c r="G33" s="520">
        <v>66</v>
      </c>
      <c r="H33" s="520">
        <v>24</v>
      </c>
      <c r="I33" s="520">
        <v>60</v>
      </c>
      <c r="J33" s="520">
        <v>22</v>
      </c>
      <c r="K33" s="520">
        <v>24</v>
      </c>
      <c r="L33" s="520">
        <v>89</v>
      </c>
      <c r="M33" s="520">
        <v>75</v>
      </c>
      <c r="N33" s="520">
        <v>92</v>
      </c>
      <c r="O33" s="520">
        <v>0</v>
      </c>
      <c r="P33" s="520">
        <v>0</v>
      </c>
      <c r="Q33" s="520">
        <v>0</v>
      </c>
      <c r="R33" s="520">
        <v>0</v>
      </c>
      <c r="S33" s="520">
        <v>0</v>
      </c>
      <c r="T33" s="520">
        <v>0</v>
      </c>
      <c r="U33" s="520">
        <v>0</v>
      </c>
      <c r="V33" s="404">
        <v>1</v>
      </c>
      <c r="W33" s="543">
        <f t="shared" si="0"/>
        <v>1</v>
      </c>
      <c r="X33" s="316">
        <f>'מיקום התיאטרון'!G38</f>
        <v>0.2</v>
      </c>
      <c r="Y33" s="338">
        <f t="array" ref="Y33">IFERROR(IF(AI33&lt;&gt;1,"",MAX(0,(AX33*((SUMPRODUCT(F33:M33,TRANSPOSE(AN$6:AN$13))+SUMPRODUCT(N33:U33,TRANSPOSE(AN$20:AN$27)))*X33)))*(1-SUM(C33:E33)/3)),"")</f>
        <v>117.37000000000002</v>
      </c>
      <c r="Z33" s="317">
        <f t="shared" si="1"/>
        <v>1.4159289900211206E-2</v>
      </c>
      <c r="AA33" s="302">
        <f t="shared" si="15"/>
        <v>1</v>
      </c>
      <c r="AB33" s="302">
        <f t="shared" si="16"/>
        <v>1</v>
      </c>
      <c r="AC33" s="302">
        <f t="shared" si="17"/>
        <v>1</v>
      </c>
      <c r="AD33" s="302">
        <f t="shared" si="18"/>
        <v>1</v>
      </c>
      <c r="AE33" s="302">
        <f t="shared" si="19"/>
        <v>1</v>
      </c>
      <c r="AF33" s="302">
        <f t="shared" si="20"/>
        <v>1</v>
      </c>
      <c r="AG33" s="302">
        <f t="shared" si="21"/>
        <v>1</v>
      </c>
      <c r="AH33" s="302">
        <f t="shared" si="22"/>
        <v>1</v>
      </c>
      <c r="AI33" s="302">
        <f t="array" ref="AI33">IF(OR(AA33:AH33&lt;&gt;1),0,1)</f>
        <v>1</v>
      </c>
      <c r="AJ33" s="318">
        <f t="shared" si="10"/>
        <v>542</v>
      </c>
      <c r="AO33" s="302" t="str">
        <f t="shared" si="23"/>
        <v>המוסד זכאי לתוספת</v>
      </c>
      <c r="AP33" s="302" t="str">
        <f t="shared" si="23"/>
        <v>המוסד נמנע מקיום הרצות ולכן יש להפחית מניקודו</v>
      </c>
      <c r="AR33" s="303"/>
      <c r="AT33" s="302">
        <f t="shared" si="24"/>
        <v>0</v>
      </c>
      <c r="AU33" s="302">
        <f t="shared" si="25"/>
        <v>0</v>
      </c>
      <c r="AV33" s="302">
        <f t="shared" si="26"/>
        <v>0</v>
      </c>
      <c r="AW33" s="302">
        <f t="shared" si="27"/>
        <v>1.1000000000000001</v>
      </c>
      <c r="AX33" s="320">
        <f t="shared" si="28"/>
        <v>1.1000000000000001</v>
      </c>
      <c r="AZ33" s="302">
        <f t="shared" si="29"/>
        <v>1</v>
      </c>
      <c r="BA33" s="302">
        <f t="shared" si="29"/>
        <v>0</v>
      </c>
    </row>
    <row r="34" spans="1:53" ht="15.75">
      <c r="A34" s="78">
        <f>'מיקום התיאטרון'!A39</f>
        <v>29</v>
      </c>
      <c r="B34" s="403" t="str">
        <f>'מיקום התיאטרון'!B39</f>
        <v>תיאטרון העברי</v>
      </c>
      <c r="C34" s="315">
        <v>0</v>
      </c>
      <c r="D34" s="315">
        <v>0</v>
      </c>
      <c r="E34" s="315">
        <v>0</v>
      </c>
      <c r="F34" s="520">
        <v>5</v>
      </c>
      <c r="G34" s="520">
        <v>8</v>
      </c>
      <c r="H34" s="520">
        <v>75</v>
      </c>
      <c r="I34" s="520">
        <v>6</v>
      </c>
      <c r="J34" s="520">
        <v>67</v>
      </c>
      <c r="K34" s="520">
        <v>21</v>
      </c>
      <c r="L34" s="520">
        <v>4</v>
      </c>
      <c r="M34" s="520">
        <v>39</v>
      </c>
      <c r="N34" s="520">
        <v>0</v>
      </c>
      <c r="O34" s="520">
        <v>0</v>
      </c>
      <c r="P34" s="520">
        <v>0</v>
      </c>
      <c r="Q34" s="520">
        <v>3</v>
      </c>
      <c r="R34" s="520">
        <v>0</v>
      </c>
      <c r="S34" s="520">
        <v>0</v>
      </c>
      <c r="T34" s="520">
        <v>0</v>
      </c>
      <c r="U34" s="520">
        <v>0</v>
      </c>
      <c r="V34" s="404">
        <v>1</v>
      </c>
      <c r="W34" s="543">
        <f t="shared" si="0"/>
        <v>1</v>
      </c>
      <c r="X34" s="316">
        <f>'מיקום התיאטרון'!G39</f>
        <v>0.25</v>
      </c>
      <c r="Y34" s="338">
        <f t="array" ref="Y34">IFERROR(IF(AI34&lt;&gt;1,"",MAX(0,(AX34*((SUMPRODUCT(F34:M34,TRANSPOSE(AN$6:AN$13))+SUMPRODUCT(N34:U34,TRANSPOSE(AN$20:AN$27)))*X34)))*(1-SUM(C34:E34)/3)),"")</f>
        <v>77.6875</v>
      </c>
      <c r="Z34" s="317">
        <f t="shared" si="1"/>
        <v>9.3720698144556351E-3</v>
      </c>
      <c r="AA34" s="302">
        <f t="shared" si="15"/>
        <v>1</v>
      </c>
      <c r="AB34" s="302">
        <f t="shared" si="16"/>
        <v>1</v>
      </c>
      <c r="AC34" s="302">
        <f t="shared" si="17"/>
        <v>1</v>
      </c>
      <c r="AD34" s="302">
        <f t="shared" si="18"/>
        <v>1</v>
      </c>
      <c r="AE34" s="302">
        <f t="shared" si="19"/>
        <v>1</v>
      </c>
      <c r="AF34" s="302">
        <f t="shared" si="20"/>
        <v>1</v>
      </c>
      <c r="AG34" s="302">
        <f t="shared" si="21"/>
        <v>1</v>
      </c>
      <c r="AH34" s="302">
        <f t="shared" si="22"/>
        <v>1</v>
      </c>
      <c r="AI34" s="302">
        <f t="array" ref="AI34">IF(OR(AA34:AH34&lt;&gt;1),0,1)</f>
        <v>1</v>
      </c>
      <c r="AJ34" s="318">
        <f t="shared" si="10"/>
        <v>225</v>
      </c>
      <c r="AO34" s="302" t="str">
        <f t="shared" si="23"/>
        <v>המוסד זכאי לתוספת</v>
      </c>
      <c r="AP34" s="302" t="str">
        <f t="shared" si="23"/>
        <v>המוסד נמנע מקיום הרצות ולכן יש להפחית מניקודו</v>
      </c>
      <c r="AR34" s="303"/>
      <c r="AT34" s="302">
        <f t="shared" si="24"/>
        <v>0</v>
      </c>
      <c r="AU34" s="302">
        <f t="shared" si="25"/>
        <v>0</v>
      </c>
      <c r="AV34" s="302">
        <f t="shared" si="26"/>
        <v>0</v>
      </c>
      <c r="AW34" s="302">
        <f t="shared" si="27"/>
        <v>1.1000000000000001</v>
      </c>
      <c r="AX34" s="320">
        <f t="shared" si="28"/>
        <v>1.1000000000000001</v>
      </c>
      <c r="AZ34" s="302">
        <f t="shared" si="29"/>
        <v>1</v>
      </c>
      <c r="BA34" s="302">
        <f t="shared" si="29"/>
        <v>0</v>
      </c>
    </row>
    <row r="35" spans="1:53" ht="15.75">
      <c r="A35" s="78">
        <f>'מיקום התיאטרון'!A40</f>
        <v>30</v>
      </c>
      <c r="B35" s="403" t="str">
        <f>'מיקום התיאטרון'!B40</f>
        <v>גליון ריק 2</v>
      </c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404"/>
      <c r="W35" s="543">
        <f t="shared" si="0"/>
        <v>0</v>
      </c>
      <c r="X35" s="316">
        <f>'מיקום התיאטרון'!G40</f>
        <v>0</v>
      </c>
      <c r="Y35" s="338">
        <f t="array" ref="Y35">IFERROR(IF(AI35&lt;&gt;1,"",MAX(0,(AX35*((SUMPRODUCT(F35:M35,TRANSPOSE(AN$6:AN$13))+SUMPRODUCT(N35:U35,TRANSPOSE(AN$20:AN$27)))*X35)))*(1-SUM(C35:E35)/3)),"")</f>
        <v>0</v>
      </c>
      <c r="Z35" s="317">
        <f t="shared" si="1"/>
        <v>0</v>
      </c>
      <c r="AA35" s="302">
        <f t="shared" si="15"/>
        <v>1</v>
      </c>
      <c r="AB35" s="302">
        <f t="shared" si="16"/>
        <v>1</v>
      </c>
      <c r="AC35" s="302">
        <f t="shared" si="17"/>
        <v>1</v>
      </c>
      <c r="AD35" s="302">
        <f t="shared" si="18"/>
        <v>1</v>
      </c>
      <c r="AE35" s="302">
        <f t="shared" si="19"/>
        <v>1</v>
      </c>
      <c r="AF35" s="302">
        <f t="shared" si="20"/>
        <v>1</v>
      </c>
      <c r="AG35" s="302">
        <f t="shared" si="21"/>
        <v>1</v>
      </c>
      <c r="AH35" s="302">
        <f t="shared" si="22"/>
        <v>1</v>
      </c>
      <c r="AI35" s="302">
        <f t="array" ref="AI35">IF(OR(AA35:AH35&lt;&gt;1),0,1)</f>
        <v>1</v>
      </c>
      <c r="AJ35" s="318">
        <f t="shared" si="10"/>
        <v>0</v>
      </c>
      <c r="AO35" s="302" t="str">
        <f t="shared" si="23"/>
        <v>המוסד זכאי לתוספת</v>
      </c>
      <c r="AP35" s="302" t="str">
        <f t="shared" si="23"/>
        <v>המוסד נמנע מקיום הרצות ולכן יש להפחית מניקודו</v>
      </c>
      <c r="AR35" s="303"/>
      <c r="AT35" s="302">
        <f t="shared" si="24"/>
        <v>0</v>
      </c>
      <c r="AU35" s="302">
        <f t="shared" si="25"/>
        <v>0</v>
      </c>
      <c r="AV35" s="302">
        <f t="shared" si="26"/>
        <v>0</v>
      </c>
      <c r="AW35" s="302">
        <f t="shared" si="27"/>
        <v>1</v>
      </c>
      <c r="AX35" s="320">
        <f t="shared" si="28"/>
        <v>1</v>
      </c>
      <c r="AZ35" s="302">
        <f t="shared" si="29"/>
        <v>1</v>
      </c>
      <c r="BA35" s="302">
        <f t="shared" si="29"/>
        <v>0</v>
      </c>
    </row>
    <row r="36" spans="1:53" ht="15.75">
      <c r="A36" s="78">
        <f>'מיקום התיאטרון'!A41</f>
        <v>31</v>
      </c>
      <c r="B36" s="403" t="str">
        <f>'מיקום התיאטרון'!B41</f>
        <v>גליון ריק 3</v>
      </c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404"/>
      <c r="W36" s="543">
        <f t="shared" si="0"/>
        <v>0</v>
      </c>
      <c r="X36" s="316">
        <f>'מיקום התיאטרון'!G41</f>
        <v>0</v>
      </c>
      <c r="Y36" s="338">
        <f t="array" ref="Y36">IFERROR(IF(AI36&lt;&gt;1,"",MAX(0,(AX36*((SUMPRODUCT(F36:M36,TRANSPOSE(AN$6:AN$13))+SUMPRODUCT(N36:U36,TRANSPOSE(AN$20:AN$27)))*X36)))*(1-SUM(C36:E36)/3)),"")</f>
        <v>0</v>
      </c>
      <c r="Z36" s="317">
        <f t="shared" si="1"/>
        <v>0</v>
      </c>
      <c r="AA36" s="302">
        <f t="shared" si="15"/>
        <v>1</v>
      </c>
      <c r="AB36" s="302">
        <f t="shared" si="16"/>
        <v>1</v>
      </c>
      <c r="AC36" s="302">
        <f t="shared" si="17"/>
        <v>1</v>
      </c>
      <c r="AD36" s="302">
        <f t="shared" si="18"/>
        <v>1</v>
      </c>
      <c r="AE36" s="302">
        <f t="shared" si="19"/>
        <v>1</v>
      </c>
      <c r="AF36" s="302">
        <f t="shared" si="20"/>
        <v>1</v>
      </c>
      <c r="AG36" s="302">
        <f t="shared" si="21"/>
        <v>1</v>
      </c>
      <c r="AH36" s="302">
        <f t="shared" si="22"/>
        <v>1</v>
      </c>
      <c r="AI36" s="302">
        <f t="array" ref="AI36">IF(OR(AA36:AH36&lt;&gt;1),0,1)</f>
        <v>1</v>
      </c>
      <c r="AJ36" s="318">
        <f t="shared" si="10"/>
        <v>0</v>
      </c>
      <c r="AO36" s="302" t="str">
        <f t="shared" si="23"/>
        <v>המוסד זכאי לתוספת</v>
      </c>
      <c r="AP36" s="302" t="str">
        <f t="shared" si="23"/>
        <v>המוסד נמנע מקיום הרצות ולכן יש להפחית מניקודו</v>
      </c>
      <c r="AR36" s="303"/>
      <c r="AT36" s="302">
        <f t="shared" si="24"/>
        <v>0</v>
      </c>
      <c r="AU36" s="302">
        <f t="shared" si="25"/>
        <v>0</v>
      </c>
      <c r="AV36" s="302">
        <f t="shared" si="26"/>
        <v>0</v>
      </c>
      <c r="AW36" s="302">
        <f t="shared" si="27"/>
        <v>1</v>
      </c>
      <c r="AX36" s="320">
        <f t="shared" si="28"/>
        <v>1</v>
      </c>
      <c r="AZ36" s="302">
        <f t="shared" si="29"/>
        <v>1</v>
      </c>
      <c r="BA36" s="302">
        <f t="shared" si="29"/>
        <v>0</v>
      </c>
    </row>
    <row r="37" spans="1:53" ht="15.75">
      <c r="A37" s="78">
        <f>'מיקום התיאטרון'!A42</f>
        <v>32</v>
      </c>
      <c r="B37" s="403" t="str">
        <f>'מיקום התיאטרון'!B42</f>
        <v/>
      </c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404"/>
      <c r="W37" s="543" t="str">
        <f t="shared" si="0"/>
        <v/>
      </c>
      <c r="X37" s="316" t="str">
        <f>'מיקום התיאטרון'!G42</f>
        <v/>
      </c>
      <c r="Y37" s="338" t="str">
        <f t="array" ref="Y37">IFERROR(IF(AI37&lt;&gt;1,"",MAX(0,(AX37*((SUMPRODUCT(F37:M37,TRANSPOSE(AN$6:AN$13))+SUMPRODUCT(N37:U37,TRANSPOSE(AN$20:AN$27)))*X37)))*(1-SUM(C37:E37)/3)),"")</f>
        <v/>
      </c>
      <c r="Z37" s="317" t="str">
        <f t="shared" si="1"/>
        <v/>
      </c>
      <c r="AA37" s="302">
        <f t="shared" si="15"/>
        <v>0</v>
      </c>
      <c r="AB37" s="302">
        <f t="shared" si="16"/>
        <v>0</v>
      </c>
      <c r="AC37" s="302">
        <f t="shared" si="17"/>
        <v>0</v>
      </c>
      <c r="AD37" s="302">
        <f t="shared" si="18"/>
        <v>0</v>
      </c>
      <c r="AE37" s="302">
        <f t="shared" si="19"/>
        <v>0</v>
      </c>
      <c r="AF37" s="302">
        <f t="shared" si="20"/>
        <v>0</v>
      </c>
      <c r="AG37" s="302">
        <f t="shared" si="21"/>
        <v>0</v>
      </c>
      <c r="AH37" s="302">
        <f t="shared" si="22"/>
        <v>0</v>
      </c>
      <c r="AI37" s="302">
        <f t="array" ref="AI37">IF(OR(AA37:AH37&lt;&gt;1),0,1)</f>
        <v>0</v>
      </c>
      <c r="AJ37" s="318">
        <f t="shared" si="10"/>
        <v>0</v>
      </c>
      <c r="AO37" s="302" t="str">
        <f t="shared" si="23"/>
        <v/>
      </c>
      <c r="AP37" s="302" t="str">
        <f t="shared" si="23"/>
        <v/>
      </c>
      <c r="AR37" s="303"/>
      <c r="AT37" s="302">
        <f t="shared" si="24"/>
        <v>0</v>
      </c>
      <c r="AU37" s="302">
        <f t="shared" si="25"/>
        <v>0</v>
      </c>
      <c r="AV37" s="302">
        <f t="shared" si="26"/>
        <v>0</v>
      </c>
      <c r="AW37" s="302" t="str">
        <f t="shared" si="27"/>
        <v/>
      </c>
      <c r="AX37" s="320" t="str">
        <f t="shared" si="28"/>
        <v/>
      </c>
      <c r="AZ37" s="302" t="str">
        <f t="shared" si="29"/>
        <v/>
      </c>
      <c r="BA37" s="302" t="str">
        <f t="shared" si="29"/>
        <v/>
      </c>
    </row>
    <row r="38" spans="1:53" ht="16.5" thickBot="1">
      <c r="A38" s="78">
        <f>'מיקום התיאטרון'!A43</f>
        <v>33</v>
      </c>
      <c r="B38" s="403" t="str">
        <f>'מיקום התיאטרון'!B43</f>
        <v/>
      </c>
      <c r="C38" s="315"/>
      <c r="D38" s="315"/>
      <c r="E38" s="315"/>
      <c r="F38" s="406"/>
      <c r="G38" s="406"/>
      <c r="H38" s="406"/>
      <c r="I38" s="406"/>
      <c r="J38" s="406"/>
      <c r="K38" s="406"/>
      <c r="L38" s="406"/>
      <c r="M38" s="406"/>
      <c r="N38" s="406"/>
      <c r="O38" s="406"/>
      <c r="P38" s="406"/>
      <c r="Q38" s="406"/>
      <c r="R38" s="406"/>
      <c r="S38" s="406"/>
      <c r="T38" s="406"/>
      <c r="U38" s="406"/>
      <c r="V38" s="405"/>
      <c r="W38" s="543" t="str">
        <f t="shared" si="0"/>
        <v/>
      </c>
      <c r="X38" s="316" t="str">
        <f>'מיקום התיאטרון'!G43</f>
        <v/>
      </c>
      <c r="Y38" s="338" t="str">
        <f t="array" ref="Y38">IFERROR(IF(AI38&lt;&gt;1,"",MAX(0,(AX38*((SUMPRODUCT(F38:M38,TRANSPOSE(AN$6:AN$13))+SUMPRODUCT(N38:U38,TRANSPOSE(AN$20:AN$27)))*X38)))*(1-SUM(C38:E38)/3)),"")</f>
        <v/>
      </c>
      <c r="Z38" s="317" t="str">
        <f t="shared" si="1"/>
        <v/>
      </c>
      <c r="AA38" s="302">
        <f t="shared" si="15"/>
        <v>0</v>
      </c>
      <c r="AB38" s="302">
        <f t="shared" si="16"/>
        <v>0</v>
      </c>
      <c r="AC38" s="302">
        <f t="shared" si="17"/>
        <v>0</v>
      </c>
      <c r="AD38" s="302">
        <f t="shared" si="18"/>
        <v>0</v>
      </c>
      <c r="AE38" s="302">
        <f t="shared" si="19"/>
        <v>0</v>
      </c>
      <c r="AF38" s="302">
        <f t="shared" si="20"/>
        <v>0</v>
      </c>
      <c r="AG38" s="302">
        <f t="shared" si="21"/>
        <v>0</v>
      </c>
      <c r="AH38" s="302">
        <f t="shared" si="22"/>
        <v>0</v>
      </c>
      <c r="AI38" s="302">
        <f t="array" ref="AI38">IF(OR(AA38:AH38&lt;&gt;1),0,1)</f>
        <v>0</v>
      </c>
      <c r="AJ38" s="318">
        <f t="shared" si="10"/>
        <v>0</v>
      </c>
      <c r="AO38" s="302" t="str">
        <f t="shared" si="23"/>
        <v/>
      </c>
      <c r="AP38" s="302" t="str">
        <f t="shared" si="23"/>
        <v/>
      </c>
      <c r="AR38" s="303"/>
      <c r="AT38" s="302">
        <f t="shared" si="24"/>
        <v>0</v>
      </c>
      <c r="AU38" s="302">
        <f t="shared" si="25"/>
        <v>0</v>
      </c>
      <c r="AV38" s="302">
        <f t="shared" si="26"/>
        <v>0</v>
      </c>
      <c r="AW38" s="302" t="str">
        <f t="shared" si="27"/>
        <v/>
      </c>
      <c r="AX38" s="320" t="str">
        <f t="shared" si="28"/>
        <v/>
      </c>
      <c r="AZ38" s="302" t="str">
        <f t="shared" si="29"/>
        <v/>
      </c>
      <c r="BA38" s="302" t="str">
        <f t="shared" si="29"/>
        <v/>
      </c>
    </row>
    <row r="39" spans="1:53" ht="14.25" thickTop="1" thickBot="1">
      <c r="A39" s="636" t="s">
        <v>26</v>
      </c>
      <c r="B39" s="637"/>
      <c r="C39" s="637"/>
      <c r="D39" s="637"/>
      <c r="E39" s="637"/>
      <c r="F39" s="637"/>
      <c r="G39" s="637"/>
      <c r="H39" s="637"/>
      <c r="I39" s="637"/>
      <c r="J39" s="637"/>
      <c r="K39" s="637"/>
      <c r="L39" s="637"/>
      <c r="M39" s="637"/>
      <c r="N39" s="637"/>
      <c r="O39" s="637"/>
      <c r="P39" s="637"/>
      <c r="Q39" s="637"/>
      <c r="R39" s="637"/>
      <c r="S39" s="637"/>
      <c r="T39" s="637"/>
      <c r="U39" s="637"/>
      <c r="V39" s="637"/>
      <c r="W39" s="637"/>
      <c r="X39" s="335"/>
      <c r="Y39" s="335">
        <f>SUM(Y6:Y35)</f>
        <v>8289.2575000000015</v>
      </c>
      <c r="Z39" s="336">
        <f>SUM(Z6:Z35)</f>
        <v>0.99999999999999978</v>
      </c>
      <c r="AX39" s="320"/>
    </row>
    <row r="40" spans="1:53" ht="13.5" thickTop="1"/>
  </sheetData>
  <sheetProtection password="CC01" sheet="1" objects="1" scenarios="1" formatColumns="0" formatRows="0"/>
  <mergeCells count="9">
    <mergeCell ref="A39:W39"/>
    <mergeCell ref="E1:F1"/>
    <mergeCell ref="E2:F2"/>
    <mergeCell ref="AL3:AN3"/>
    <mergeCell ref="C4:E4"/>
    <mergeCell ref="F4:M4"/>
    <mergeCell ref="N4:U4"/>
    <mergeCell ref="AL4:AN4"/>
    <mergeCell ref="AL18:AN18"/>
  </mergeCells>
  <conditionalFormatting sqref="W6:W38">
    <cfRule type="expression" dxfId="105" priority="13" stopIfTrue="1">
      <formula>AK6=0</formula>
    </cfRule>
  </conditionalFormatting>
  <conditionalFormatting sqref="C7:V9 V11:V38">
    <cfRule type="expression" dxfId="104" priority="7">
      <formula>$B7&lt;&gt;""</formula>
    </cfRule>
  </conditionalFormatting>
  <conditionalFormatting sqref="C11:U21 C23:U38 C22:E22">
    <cfRule type="expression" dxfId="103" priority="5">
      <formula>$B11&lt;&gt;""</formula>
    </cfRule>
  </conditionalFormatting>
  <conditionalFormatting sqref="F22:V22">
    <cfRule type="expression" dxfId="102" priority="4">
      <formula>$B6&lt;&gt;""</formula>
    </cfRule>
  </conditionalFormatting>
  <conditionalFormatting sqref="V10">
    <cfRule type="expression" dxfId="101" priority="3">
      <formula>$B10&lt;&gt;""</formula>
    </cfRule>
  </conditionalFormatting>
  <conditionalFormatting sqref="C10:U10">
    <cfRule type="expression" dxfId="100" priority="2">
      <formula>$B10&lt;&gt;""</formula>
    </cfRule>
  </conditionalFormatting>
  <conditionalFormatting sqref="C6:V6">
    <cfRule type="expression" dxfId="99" priority="1">
      <formula>$B6&lt;&gt;""</formula>
    </cfRule>
  </conditionalFormatting>
  <dataValidations count="8">
    <dataValidation type="whole" errorStyle="warning" allowBlank="1" showInputMessage="1" showErrorMessage="1" errorTitle="טעות בהזנה" error="יש לוודא כי הוזן שם ללהקה_x000a__x000a_יש להזין מספר שלם שאינו שלילי" sqref="V37:V38">
      <formula1>0</formula1>
      <formula2>9.99999999999999E+25</formula2>
    </dataValidation>
    <dataValidation errorStyle="warning" allowBlank="1" showInputMessage="1" showErrorMessage="1" errorTitle="טעות בהזנה" error="יש לוודא כי הוזן שם ללהקה_x000a__x000a_יש להזין מספר שלם שאינו שלילי" sqref="W6:W38"/>
    <dataValidation type="custom" errorStyle="warning" allowBlank="1" showInputMessage="1" showErrorMessage="1" errorTitle="טעות בהזנה" error="יש לוודא כי הוזן שם ללהקה_x000a__x000a_יש להזין מספר שלם שאינו שלילי" sqref="R65545:W65574 R983049:W983078 R917513:W917542 R851977:W852006 R786441:W786470 R720905:W720934 R655369:W655398 R589833:W589862 R524297:W524326 R458761:W458790 R393225:W393254 R327689:W327718 R262153:W262182 R196617:W196646 R131081:W131110">
      <formula1>AI65545</formula1>
    </dataValidation>
    <dataValidation type="custom" errorStyle="warning" allowBlank="1" showInputMessage="1" showErrorMessage="1" errorTitle="טעות בהזנה" error="יש לוודא כי הוזן שם ללהקה_x000a__x000a_יש להזין מספר שלם שאינו שלילי" sqref="F65545:Q65574 F983049:Q983078 F917513:Q917542 F851977:Q852006 F786441:Q786470 F720905:Q720934 F655369:Q655398 F589833:Q589862 F524297:Q524326 F458761:Q458790 F393225:Q393254 F327689:Q327718 F262153:Q262182 F196617:Q196646 F131081:Q131110">
      <formula1>AA65545</formula1>
    </dataValidation>
    <dataValidation type="custom" errorStyle="warning" allowBlank="1" showInputMessage="1" showErrorMessage="1" errorTitle="טעות בהזנה" error="יש לוודא כי הוזן שם ללהקה_x000a__x000a_יש להזין מספר שלם שאינו שלילי" sqref="JI65545:JP65574 TE65545:TL65574 ADA65545:ADH65574 AMW65545:AND65574 AWS65545:AWZ65574 BGO65545:BGV65574 BQK65545:BQR65574 CAG65545:CAN65574 CKC65545:CKJ65574 CTY65545:CUF65574 DDU65545:DEB65574 DNQ65545:DNX65574 DXM65545:DXT65574 EHI65545:EHP65574 ERE65545:ERL65574 FBA65545:FBH65574 FKW65545:FLD65574 FUS65545:FUZ65574 GEO65545:GEV65574 GOK65545:GOR65574 GYG65545:GYN65574 HIC65545:HIJ65574 HRY65545:HSF65574 IBU65545:ICB65574 ILQ65545:ILX65574 IVM65545:IVT65574 JFI65545:JFP65574 JPE65545:JPL65574 JZA65545:JZH65574 KIW65545:KJD65574 KSS65545:KSZ65574 LCO65545:LCV65574 LMK65545:LMR65574 LWG65545:LWN65574 MGC65545:MGJ65574 MPY65545:MQF65574 MZU65545:NAB65574 NJQ65545:NJX65574 NTM65545:NTT65574 ODI65545:ODP65574 ONE65545:ONL65574 OXA65545:OXH65574 PGW65545:PHD65574 PQS65545:PQZ65574 QAO65545:QAV65574 QKK65545:QKR65574 QUG65545:QUN65574 REC65545:REJ65574 RNY65545:ROF65574 RXU65545:RYB65574 SHQ65545:SHX65574 SRM65545:SRT65574 TBI65545:TBP65574 TLE65545:TLL65574 TVA65545:TVH65574 UEW65545:UFD65574 UOS65545:UOZ65574 UYO65545:UYV65574 VIK65545:VIR65574 VSG65545:VSN65574 WCC65545:WCJ65574 WLY65545:WMF65574 WVU65545:WWB65574 JI131081:JP131110 TE131081:TL131110 ADA131081:ADH131110 AMW131081:AND131110 AWS131081:AWZ131110 BGO131081:BGV131110 BQK131081:BQR131110 CAG131081:CAN131110 CKC131081:CKJ131110 CTY131081:CUF131110 DDU131081:DEB131110 DNQ131081:DNX131110 DXM131081:DXT131110 EHI131081:EHP131110 ERE131081:ERL131110 FBA131081:FBH131110 FKW131081:FLD131110 FUS131081:FUZ131110 GEO131081:GEV131110 GOK131081:GOR131110 GYG131081:GYN131110 HIC131081:HIJ131110 HRY131081:HSF131110 IBU131081:ICB131110 ILQ131081:ILX131110 IVM131081:IVT131110 JFI131081:JFP131110 JPE131081:JPL131110 JZA131081:JZH131110 KIW131081:KJD131110 KSS131081:KSZ131110 LCO131081:LCV131110 LMK131081:LMR131110 LWG131081:LWN131110 MGC131081:MGJ131110 MPY131081:MQF131110 MZU131081:NAB131110 NJQ131081:NJX131110 NTM131081:NTT131110 ODI131081:ODP131110 ONE131081:ONL131110 OXA131081:OXH131110 PGW131081:PHD131110 PQS131081:PQZ131110 QAO131081:QAV131110 QKK131081:QKR131110 QUG131081:QUN131110 REC131081:REJ131110 RNY131081:ROF131110 RXU131081:RYB131110 SHQ131081:SHX131110 SRM131081:SRT131110 TBI131081:TBP131110 TLE131081:TLL131110 TVA131081:TVH131110 UEW131081:UFD131110 UOS131081:UOZ131110 UYO131081:UYV131110 VIK131081:VIR131110 VSG131081:VSN131110 WCC131081:WCJ131110 WLY131081:WMF131110 WVU131081:WWB131110 JI196617:JP196646 TE196617:TL196646 ADA196617:ADH196646 AMW196617:AND196646 AWS196617:AWZ196646 BGO196617:BGV196646 BQK196617:BQR196646 CAG196617:CAN196646 CKC196617:CKJ196646 CTY196617:CUF196646 DDU196617:DEB196646 DNQ196617:DNX196646 DXM196617:DXT196646 EHI196617:EHP196646 ERE196617:ERL196646 FBA196617:FBH196646 FKW196617:FLD196646 FUS196617:FUZ196646 GEO196617:GEV196646 GOK196617:GOR196646 GYG196617:GYN196646 HIC196617:HIJ196646 HRY196617:HSF196646 IBU196617:ICB196646 ILQ196617:ILX196646 IVM196617:IVT196646 JFI196617:JFP196646 JPE196617:JPL196646 JZA196617:JZH196646 KIW196617:KJD196646 KSS196617:KSZ196646 LCO196617:LCV196646 LMK196617:LMR196646 LWG196617:LWN196646 MGC196617:MGJ196646 MPY196617:MQF196646 MZU196617:NAB196646 NJQ196617:NJX196646 NTM196617:NTT196646 ODI196617:ODP196646 ONE196617:ONL196646 OXA196617:OXH196646 PGW196617:PHD196646 PQS196617:PQZ196646 QAO196617:QAV196646 QKK196617:QKR196646 QUG196617:QUN196646 REC196617:REJ196646 RNY196617:ROF196646 RXU196617:RYB196646 SHQ196617:SHX196646 SRM196617:SRT196646 TBI196617:TBP196646 TLE196617:TLL196646 TVA196617:TVH196646 UEW196617:UFD196646 UOS196617:UOZ196646 UYO196617:UYV196646 VIK196617:VIR196646 VSG196617:VSN196646 WCC196617:WCJ196646 WLY196617:WMF196646 WVU196617:WWB196646 JI262153:JP262182 TE262153:TL262182 ADA262153:ADH262182 AMW262153:AND262182 AWS262153:AWZ262182 BGO262153:BGV262182 BQK262153:BQR262182 CAG262153:CAN262182 CKC262153:CKJ262182 CTY262153:CUF262182 DDU262153:DEB262182 DNQ262153:DNX262182 DXM262153:DXT262182 EHI262153:EHP262182 ERE262153:ERL262182 FBA262153:FBH262182 FKW262153:FLD262182 FUS262153:FUZ262182 GEO262153:GEV262182 GOK262153:GOR262182 GYG262153:GYN262182 HIC262153:HIJ262182 HRY262153:HSF262182 IBU262153:ICB262182 ILQ262153:ILX262182 IVM262153:IVT262182 JFI262153:JFP262182 JPE262153:JPL262182 JZA262153:JZH262182 KIW262153:KJD262182 KSS262153:KSZ262182 LCO262153:LCV262182 LMK262153:LMR262182 LWG262153:LWN262182 MGC262153:MGJ262182 MPY262153:MQF262182 MZU262153:NAB262182 NJQ262153:NJX262182 NTM262153:NTT262182 ODI262153:ODP262182 ONE262153:ONL262182 OXA262153:OXH262182 PGW262153:PHD262182 PQS262153:PQZ262182 QAO262153:QAV262182 QKK262153:QKR262182 QUG262153:QUN262182 REC262153:REJ262182 RNY262153:ROF262182 RXU262153:RYB262182 SHQ262153:SHX262182 SRM262153:SRT262182 TBI262153:TBP262182 TLE262153:TLL262182 TVA262153:TVH262182 UEW262153:UFD262182 UOS262153:UOZ262182 UYO262153:UYV262182 VIK262153:VIR262182 VSG262153:VSN262182 WCC262153:WCJ262182 WLY262153:WMF262182 WVU262153:WWB262182 JI327689:JP327718 TE327689:TL327718 ADA327689:ADH327718 AMW327689:AND327718 AWS327689:AWZ327718 BGO327689:BGV327718 BQK327689:BQR327718 CAG327689:CAN327718 CKC327689:CKJ327718 CTY327689:CUF327718 DDU327689:DEB327718 DNQ327689:DNX327718 DXM327689:DXT327718 EHI327689:EHP327718 ERE327689:ERL327718 FBA327689:FBH327718 FKW327689:FLD327718 FUS327689:FUZ327718 GEO327689:GEV327718 GOK327689:GOR327718 GYG327689:GYN327718 HIC327689:HIJ327718 HRY327689:HSF327718 IBU327689:ICB327718 ILQ327689:ILX327718 IVM327689:IVT327718 JFI327689:JFP327718 JPE327689:JPL327718 JZA327689:JZH327718 KIW327689:KJD327718 KSS327689:KSZ327718 LCO327689:LCV327718 LMK327689:LMR327718 LWG327689:LWN327718 MGC327689:MGJ327718 MPY327689:MQF327718 MZU327689:NAB327718 NJQ327689:NJX327718 NTM327689:NTT327718 ODI327689:ODP327718 ONE327689:ONL327718 OXA327689:OXH327718 PGW327689:PHD327718 PQS327689:PQZ327718 QAO327689:QAV327718 QKK327689:QKR327718 QUG327689:QUN327718 REC327689:REJ327718 RNY327689:ROF327718 RXU327689:RYB327718 SHQ327689:SHX327718 SRM327689:SRT327718 TBI327689:TBP327718 TLE327689:TLL327718 TVA327689:TVH327718 UEW327689:UFD327718 UOS327689:UOZ327718 UYO327689:UYV327718 VIK327689:VIR327718 VSG327689:VSN327718 WCC327689:WCJ327718 WLY327689:WMF327718 WVU327689:WWB327718 JI393225:JP393254 TE393225:TL393254 ADA393225:ADH393254 AMW393225:AND393254 AWS393225:AWZ393254 BGO393225:BGV393254 BQK393225:BQR393254 CAG393225:CAN393254 CKC393225:CKJ393254 CTY393225:CUF393254 DDU393225:DEB393254 DNQ393225:DNX393254 DXM393225:DXT393254 EHI393225:EHP393254 ERE393225:ERL393254 FBA393225:FBH393254 FKW393225:FLD393254 FUS393225:FUZ393254 GEO393225:GEV393254 GOK393225:GOR393254 GYG393225:GYN393254 HIC393225:HIJ393254 HRY393225:HSF393254 IBU393225:ICB393254 ILQ393225:ILX393254 IVM393225:IVT393254 JFI393225:JFP393254 JPE393225:JPL393254 JZA393225:JZH393254 KIW393225:KJD393254 KSS393225:KSZ393254 LCO393225:LCV393254 LMK393225:LMR393254 LWG393225:LWN393254 MGC393225:MGJ393254 MPY393225:MQF393254 MZU393225:NAB393254 NJQ393225:NJX393254 NTM393225:NTT393254 ODI393225:ODP393254 ONE393225:ONL393254 OXA393225:OXH393254 PGW393225:PHD393254 PQS393225:PQZ393254 QAO393225:QAV393254 QKK393225:QKR393254 QUG393225:QUN393254 REC393225:REJ393254 RNY393225:ROF393254 RXU393225:RYB393254 SHQ393225:SHX393254 SRM393225:SRT393254 TBI393225:TBP393254 TLE393225:TLL393254 TVA393225:TVH393254 UEW393225:UFD393254 UOS393225:UOZ393254 UYO393225:UYV393254 VIK393225:VIR393254 VSG393225:VSN393254 WCC393225:WCJ393254 WLY393225:WMF393254 WVU393225:WWB393254 JI458761:JP458790 TE458761:TL458790 ADA458761:ADH458790 AMW458761:AND458790 AWS458761:AWZ458790 BGO458761:BGV458790 BQK458761:BQR458790 CAG458761:CAN458790 CKC458761:CKJ458790 CTY458761:CUF458790 DDU458761:DEB458790 DNQ458761:DNX458790 DXM458761:DXT458790 EHI458761:EHP458790 ERE458761:ERL458790 FBA458761:FBH458790 FKW458761:FLD458790 FUS458761:FUZ458790 GEO458761:GEV458790 GOK458761:GOR458790 GYG458761:GYN458790 HIC458761:HIJ458790 HRY458761:HSF458790 IBU458761:ICB458790 ILQ458761:ILX458790 IVM458761:IVT458790 JFI458761:JFP458790 JPE458761:JPL458790 JZA458761:JZH458790 KIW458761:KJD458790 KSS458761:KSZ458790 LCO458761:LCV458790 LMK458761:LMR458790 LWG458761:LWN458790 MGC458761:MGJ458790 MPY458761:MQF458790 MZU458761:NAB458790 NJQ458761:NJX458790 NTM458761:NTT458790 ODI458761:ODP458790 ONE458761:ONL458790 OXA458761:OXH458790 PGW458761:PHD458790 PQS458761:PQZ458790 QAO458761:QAV458790 QKK458761:QKR458790 QUG458761:QUN458790 REC458761:REJ458790 RNY458761:ROF458790 RXU458761:RYB458790 SHQ458761:SHX458790 SRM458761:SRT458790 TBI458761:TBP458790 TLE458761:TLL458790 TVA458761:TVH458790 UEW458761:UFD458790 UOS458761:UOZ458790 UYO458761:UYV458790 VIK458761:VIR458790 VSG458761:VSN458790 WCC458761:WCJ458790 WLY458761:WMF458790 WVU458761:WWB458790 JI524297:JP524326 TE524297:TL524326 ADA524297:ADH524326 AMW524297:AND524326 AWS524297:AWZ524326 BGO524297:BGV524326 BQK524297:BQR524326 CAG524297:CAN524326 CKC524297:CKJ524326 CTY524297:CUF524326 DDU524297:DEB524326 DNQ524297:DNX524326 DXM524297:DXT524326 EHI524297:EHP524326 ERE524297:ERL524326 FBA524297:FBH524326 FKW524297:FLD524326 FUS524297:FUZ524326 GEO524297:GEV524326 GOK524297:GOR524326 GYG524297:GYN524326 HIC524297:HIJ524326 HRY524297:HSF524326 IBU524297:ICB524326 ILQ524297:ILX524326 IVM524297:IVT524326 JFI524297:JFP524326 JPE524297:JPL524326 JZA524297:JZH524326 KIW524297:KJD524326 KSS524297:KSZ524326 LCO524297:LCV524326 LMK524297:LMR524326 LWG524297:LWN524326 MGC524297:MGJ524326 MPY524297:MQF524326 MZU524297:NAB524326 NJQ524297:NJX524326 NTM524297:NTT524326 ODI524297:ODP524326 ONE524297:ONL524326 OXA524297:OXH524326 PGW524297:PHD524326 PQS524297:PQZ524326 QAO524297:QAV524326 QKK524297:QKR524326 QUG524297:QUN524326 REC524297:REJ524326 RNY524297:ROF524326 RXU524297:RYB524326 SHQ524297:SHX524326 SRM524297:SRT524326 TBI524297:TBP524326 TLE524297:TLL524326 TVA524297:TVH524326 UEW524297:UFD524326 UOS524297:UOZ524326 UYO524297:UYV524326 VIK524297:VIR524326 VSG524297:VSN524326 WCC524297:WCJ524326 WLY524297:WMF524326 WVU524297:WWB524326 JI589833:JP589862 TE589833:TL589862 ADA589833:ADH589862 AMW589833:AND589862 AWS589833:AWZ589862 BGO589833:BGV589862 BQK589833:BQR589862 CAG589833:CAN589862 CKC589833:CKJ589862 CTY589833:CUF589862 DDU589833:DEB589862 DNQ589833:DNX589862 DXM589833:DXT589862 EHI589833:EHP589862 ERE589833:ERL589862 FBA589833:FBH589862 FKW589833:FLD589862 FUS589833:FUZ589862 GEO589833:GEV589862 GOK589833:GOR589862 GYG589833:GYN589862 HIC589833:HIJ589862 HRY589833:HSF589862 IBU589833:ICB589862 ILQ589833:ILX589862 IVM589833:IVT589862 JFI589833:JFP589862 JPE589833:JPL589862 JZA589833:JZH589862 KIW589833:KJD589862 KSS589833:KSZ589862 LCO589833:LCV589862 LMK589833:LMR589862 LWG589833:LWN589862 MGC589833:MGJ589862 MPY589833:MQF589862 MZU589833:NAB589862 NJQ589833:NJX589862 NTM589833:NTT589862 ODI589833:ODP589862 ONE589833:ONL589862 OXA589833:OXH589862 PGW589833:PHD589862 PQS589833:PQZ589862 QAO589833:QAV589862 QKK589833:QKR589862 QUG589833:QUN589862 REC589833:REJ589862 RNY589833:ROF589862 RXU589833:RYB589862 SHQ589833:SHX589862 SRM589833:SRT589862 TBI589833:TBP589862 TLE589833:TLL589862 TVA589833:TVH589862 UEW589833:UFD589862 UOS589833:UOZ589862 UYO589833:UYV589862 VIK589833:VIR589862 VSG589833:VSN589862 WCC589833:WCJ589862 WLY589833:WMF589862 WVU589833:WWB589862 JI655369:JP655398 TE655369:TL655398 ADA655369:ADH655398 AMW655369:AND655398 AWS655369:AWZ655398 BGO655369:BGV655398 BQK655369:BQR655398 CAG655369:CAN655398 CKC655369:CKJ655398 CTY655369:CUF655398 DDU655369:DEB655398 DNQ655369:DNX655398 DXM655369:DXT655398 EHI655369:EHP655398 ERE655369:ERL655398 FBA655369:FBH655398 FKW655369:FLD655398 FUS655369:FUZ655398 GEO655369:GEV655398 GOK655369:GOR655398 GYG655369:GYN655398 HIC655369:HIJ655398 HRY655369:HSF655398 IBU655369:ICB655398 ILQ655369:ILX655398 IVM655369:IVT655398 JFI655369:JFP655398 JPE655369:JPL655398 JZA655369:JZH655398 KIW655369:KJD655398 KSS655369:KSZ655398 LCO655369:LCV655398 LMK655369:LMR655398 LWG655369:LWN655398 MGC655369:MGJ655398 MPY655369:MQF655398 MZU655369:NAB655398 NJQ655369:NJX655398 NTM655369:NTT655398 ODI655369:ODP655398 ONE655369:ONL655398 OXA655369:OXH655398 PGW655369:PHD655398 PQS655369:PQZ655398 QAO655369:QAV655398 QKK655369:QKR655398 QUG655369:QUN655398 REC655369:REJ655398 RNY655369:ROF655398 RXU655369:RYB655398 SHQ655369:SHX655398 SRM655369:SRT655398 TBI655369:TBP655398 TLE655369:TLL655398 TVA655369:TVH655398 UEW655369:UFD655398 UOS655369:UOZ655398 UYO655369:UYV655398 VIK655369:VIR655398 VSG655369:VSN655398 WCC655369:WCJ655398 WLY655369:WMF655398 WVU655369:WWB655398 JI720905:JP720934 TE720905:TL720934 ADA720905:ADH720934 AMW720905:AND720934 AWS720905:AWZ720934 BGO720905:BGV720934 BQK720905:BQR720934 CAG720905:CAN720934 CKC720905:CKJ720934 CTY720905:CUF720934 DDU720905:DEB720934 DNQ720905:DNX720934 DXM720905:DXT720934 EHI720905:EHP720934 ERE720905:ERL720934 FBA720905:FBH720934 FKW720905:FLD720934 FUS720905:FUZ720934 GEO720905:GEV720934 GOK720905:GOR720934 GYG720905:GYN720934 HIC720905:HIJ720934 HRY720905:HSF720934 IBU720905:ICB720934 ILQ720905:ILX720934 IVM720905:IVT720934 JFI720905:JFP720934 JPE720905:JPL720934 JZA720905:JZH720934 KIW720905:KJD720934 KSS720905:KSZ720934 LCO720905:LCV720934 LMK720905:LMR720934 LWG720905:LWN720934 MGC720905:MGJ720934 MPY720905:MQF720934 MZU720905:NAB720934 NJQ720905:NJX720934 NTM720905:NTT720934 ODI720905:ODP720934 ONE720905:ONL720934 OXA720905:OXH720934 PGW720905:PHD720934 PQS720905:PQZ720934 QAO720905:QAV720934 QKK720905:QKR720934 QUG720905:QUN720934 REC720905:REJ720934 RNY720905:ROF720934 RXU720905:RYB720934 SHQ720905:SHX720934 SRM720905:SRT720934 TBI720905:TBP720934 TLE720905:TLL720934 TVA720905:TVH720934 UEW720905:UFD720934 UOS720905:UOZ720934 UYO720905:UYV720934 VIK720905:VIR720934 VSG720905:VSN720934 WCC720905:WCJ720934 WLY720905:WMF720934 WVU720905:WWB720934 JI786441:JP786470 TE786441:TL786470 ADA786441:ADH786470 AMW786441:AND786470 AWS786441:AWZ786470 BGO786441:BGV786470 BQK786441:BQR786470 CAG786441:CAN786470 CKC786441:CKJ786470 CTY786441:CUF786470 DDU786441:DEB786470 DNQ786441:DNX786470 DXM786441:DXT786470 EHI786441:EHP786470 ERE786441:ERL786470 FBA786441:FBH786470 FKW786441:FLD786470 FUS786441:FUZ786470 GEO786441:GEV786470 GOK786441:GOR786470 GYG786441:GYN786470 HIC786441:HIJ786470 HRY786441:HSF786470 IBU786441:ICB786470 ILQ786441:ILX786470 IVM786441:IVT786470 JFI786441:JFP786470 JPE786441:JPL786470 JZA786441:JZH786470 KIW786441:KJD786470 KSS786441:KSZ786470 LCO786441:LCV786470 LMK786441:LMR786470 LWG786441:LWN786470 MGC786441:MGJ786470 MPY786441:MQF786470 MZU786441:NAB786470 NJQ786441:NJX786470 NTM786441:NTT786470 ODI786441:ODP786470 ONE786441:ONL786470 OXA786441:OXH786470 PGW786441:PHD786470 PQS786441:PQZ786470 QAO786441:QAV786470 QKK786441:QKR786470 QUG786441:QUN786470 REC786441:REJ786470 RNY786441:ROF786470 RXU786441:RYB786470 SHQ786441:SHX786470 SRM786441:SRT786470 TBI786441:TBP786470 TLE786441:TLL786470 TVA786441:TVH786470 UEW786441:UFD786470 UOS786441:UOZ786470 UYO786441:UYV786470 VIK786441:VIR786470 VSG786441:VSN786470 WCC786441:WCJ786470 WLY786441:WMF786470 WVU786441:WWB786470 JI851977:JP852006 TE851977:TL852006 ADA851977:ADH852006 AMW851977:AND852006 AWS851977:AWZ852006 BGO851977:BGV852006 BQK851977:BQR852006 CAG851977:CAN852006 CKC851977:CKJ852006 CTY851977:CUF852006 DDU851977:DEB852006 DNQ851977:DNX852006 DXM851977:DXT852006 EHI851977:EHP852006 ERE851977:ERL852006 FBA851977:FBH852006 FKW851977:FLD852006 FUS851977:FUZ852006 GEO851977:GEV852006 GOK851977:GOR852006 GYG851977:GYN852006 HIC851977:HIJ852006 HRY851977:HSF852006 IBU851977:ICB852006 ILQ851977:ILX852006 IVM851977:IVT852006 JFI851977:JFP852006 JPE851977:JPL852006 JZA851977:JZH852006 KIW851977:KJD852006 KSS851977:KSZ852006 LCO851977:LCV852006 LMK851977:LMR852006 LWG851977:LWN852006 MGC851977:MGJ852006 MPY851977:MQF852006 MZU851977:NAB852006 NJQ851977:NJX852006 NTM851977:NTT852006 ODI851977:ODP852006 ONE851977:ONL852006 OXA851977:OXH852006 PGW851977:PHD852006 PQS851977:PQZ852006 QAO851977:QAV852006 QKK851977:QKR852006 QUG851977:QUN852006 REC851977:REJ852006 RNY851977:ROF852006 RXU851977:RYB852006 SHQ851977:SHX852006 SRM851977:SRT852006 TBI851977:TBP852006 TLE851977:TLL852006 TVA851977:TVH852006 UEW851977:UFD852006 UOS851977:UOZ852006 UYO851977:UYV852006 VIK851977:VIR852006 VSG851977:VSN852006 WCC851977:WCJ852006 WLY851977:WMF852006 WVU851977:WWB852006 JI917513:JP917542 TE917513:TL917542 ADA917513:ADH917542 AMW917513:AND917542 AWS917513:AWZ917542 BGO917513:BGV917542 BQK917513:BQR917542 CAG917513:CAN917542 CKC917513:CKJ917542 CTY917513:CUF917542 DDU917513:DEB917542 DNQ917513:DNX917542 DXM917513:DXT917542 EHI917513:EHP917542 ERE917513:ERL917542 FBA917513:FBH917542 FKW917513:FLD917542 FUS917513:FUZ917542 GEO917513:GEV917542 GOK917513:GOR917542 GYG917513:GYN917542 HIC917513:HIJ917542 HRY917513:HSF917542 IBU917513:ICB917542 ILQ917513:ILX917542 IVM917513:IVT917542 JFI917513:JFP917542 JPE917513:JPL917542 JZA917513:JZH917542 KIW917513:KJD917542 KSS917513:KSZ917542 LCO917513:LCV917542 LMK917513:LMR917542 LWG917513:LWN917542 MGC917513:MGJ917542 MPY917513:MQF917542 MZU917513:NAB917542 NJQ917513:NJX917542 NTM917513:NTT917542 ODI917513:ODP917542 ONE917513:ONL917542 OXA917513:OXH917542 PGW917513:PHD917542 PQS917513:PQZ917542 QAO917513:QAV917542 QKK917513:QKR917542 QUG917513:QUN917542 REC917513:REJ917542 RNY917513:ROF917542 RXU917513:RYB917542 SHQ917513:SHX917542 SRM917513:SRT917542 TBI917513:TBP917542 TLE917513:TLL917542 TVA917513:TVH917542 UEW917513:UFD917542 UOS917513:UOZ917542 UYO917513:UYV917542 VIK917513:VIR917542 VSG917513:VSN917542 WCC917513:WCJ917542 WLY917513:WMF917542 WVU917513:WWB917542 JI983049:JP983078 TE983049:TL983078 ADA983049:ADH983078 AMW983049:AND983078 AWS983049:AWZ983078 BGO983049:BGV983078 BQK983049:BQR983078 CAG983049:CAN983078 CKC983049:CKJ983078 CTY983049:CUF983078 DDU983049:DEB983078 DNQ983049:DNX983078 DXM983049:DXT983078 EHI983049:EHP983078 ERE983049:ERL983078 FBA983049:FBH983078 FKW983049:FLD983078 FUS983049:FUZ983078 GEO983049:GEV983078 GOK983049:GOR983078 GYG983049:GYN983078 HIC983049:HIJ983078 HRY983049:HSF983078 IBU983049:ICB983078 ILQ983049:ILX983078 IVM983049:IVT983078 JFI983049:JFP983078 JPE983049:JPL983078 JZA983049:JZH983078 KIW983049:KJD983078 KSS983049:KSZ983078 LCO983049:LCV983078 LMK983049:LMR983078 LWG983049:LWN983078 MGC983049:MGJ983078 MPY983049:MQF983078 MZU983049:NAB983078 NJQ983049:NJX983078 NTM983049:NTT983078 ODI983049:ODP983078 ONE983049:ONL983078 OXA983049:OXH983078 PGW983049:PHD983078 PQS983049:PQZ983078 QAO983049:QAV983078 QKK983049:QKR983078 QUG983049:QUN983078 REC983049:REJ983078 RNY983049:ROF983078 RXU983049:RYB983078 SHQ983049:SHX983078 SRM983049:SRT983078 TBI983049:TBP983078 TLE983049:TLL983078 TVA983049:TVH983078 UEW983049:UFD983078 UOS983049:UOZ983078 UYO983049:UYV983078 VIK983049:VIR983078 VSG983049:VSN983078 WCC983049:WCJ983078 WLY983049:WMF983078 WVU983049:WWB983078 WVU6:WWB38 WLY6:WMF38 WCC6:WCJ38 VSG6:VSN38 VIK6:VIR38 UYO6:UYV38 UOS6:UOZ38 UEW6:UFD38 TVA6:TVH38 TLE6:TLL38 TBI6:TBP38 SRM6:SRT38 SHQ6:SHX38 RXU6:RYB38 RNY6:ROF38 REC6:REJ38 QUG6:QUN38 QKK6:QKR38 QAO6:QAV38 PQS6:PQZ38 PGW6:PHD38 OXA6:OXH38 ONE6:ONL38 ODI6:ODP38 NTM6:NTT38 NJQ6:NJX38 MZU6:NAB38 MPY6:MQF38 MGC6:MGJ38 LWG6:LWN38 LMK6:LMR38 LCO6:LCV38 KSS6:KSZ38 KIW6:KJD38 JZA6:JZH38 JPE6:JPL38 JFI6:JFP38 IVM6:IVT38 ILQ6:ILX38 IBU6:ICB38 HRY6:HSF38 HIC6:HIJ38 GYG6:GYN38 GOK6:GOR38 GEO6:GEV38 FUS6:FUZ38 FKW6:FLD38 FBA6:FBH38 ERE6:ERL38 EHI6:EHP38 DXM6:DXT38 DNQ6:DNX38 DDU6:DEB38 CTY6:CUF38 CKC6:CKJ38 CAG6:CAN38 BQK6:BQR38 BGO6:BGV38 AWS6:AWZ38 AMW6:AND38 ADA6:ADH38 TE6:TL38 JI6:JP38">
      <formula1>JT6</formula1>
    </dataValidation>
    <dataValidation type="whole" allowBlank="1" showInputMessage="1" showErrorMessage="1" sqref="F23:U38 F22:V22 F7:U21">
      <formula1>0</formula1>
      <formula2>9.99999999999999E+36</formula2>
    </dataValidation>
    <dataValidation type="list" errorStyle="warning" allowBlank="1" showInputMessage="1" showErrorMessage="1" errorTitle="טעות בהזנה" error="יש לוודא כי הוזן שם ללהקה_x000a__x000a_יש להזין מספר שלם שאינו שלילי" sqref="V7:V21 V23:V36">
      <formula1>$AZ$6:$BA$6</formula1>
    </dataValidation>
    <dataValidation type="list" operator="greaterThanOrEqual" allowBlank="1" showInputMessage="1" showErrorMessage="1" sqref="C6:E38">
      <formula1>"0,1"</formula1>
    </dataValidation>
  </dataValidations>
  <printOptions horizontalCentered="1"/>
  <pageMargins left="0.19685039370078741" right="0.19685039370078741" top="0.62992125984251968" bottom="0.51181102362204722" header="0.19685039370078741" footer="0.19685039370078741"/>
  <pageSetup paperSize="9" scale="60" orientation="landscape" cellComments="asDisplayed" verticalDpi="1200" r:id="rId1"/>
  <headerFooter alignWithMargins="0">
    <oddHeader>&amp;L
גרסא 2.9&amp;C&amp;12מבחנים לחלוקת כספי תמיכות של משרד החינוך התרבות והספורט למוסדות ציבור לפי חוק יסודות התקציב, התשמ"ה  - 1985
&amp;Uתמיכה במוסדות תרבות בתחום להקות מחול</oddHeader>
    <oddFooter>&amp;L&amp;"Arial,מודגש"&amp;12א. חפץ ושות'
יעוץ כלכלי&amp;Cעמוד &amp;P מתוך &amp;N&amp;R&amp;A</oddFooter>
  </headerFooter>
  <colBreaks count="1" manualBreakCount="1">
    <brk id="13" max="3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46"/>
    <pageSetUpPr fitToPage="1"/>
  </sheetPr>
  <dimension ref="A1:J43"/>
  <sheetViews>
    <sheetView rightToLeft="1" view="pageBreakPreview" zoomScale="73" workbookViewId="0">
      <selection activeCell="B22" sqref="B22"/>
    </sheetView>
  </sheetViews>
  <sheetFormatPr defaultRowHeight="12.75" outlineLevelRow="1"/>
  <cols>
    <col min="1" max="1" width="9.7109375" customWidth="1"/>
    <col min="2" max="2" width="26.5703125" customWidth="1"/>
    <col min="3" max="3" width="16.7109375" customWidth="1"/>
    <col min="4" max="4" width="13.28515625" customWidth="1"/>
    <col min="5" max="5" width="13.42578125" customWidth="1"/>
    <col min="6" max="6" width="16.140625" bestFit="1" customWidth="1"/>
  </cols>
  <sheetData>
    <row r="1" spans="1:10" ht="17.25" outlineLevel="1" thickTop="1" thickBot="1">
      <c r="A1" s="632" t="str">
        <f>פרמטרים!A49</f>
        <v>קבוצות וותק וניקודן</v>
      </c>
      <c r="B1" s="633"/>
      <c r="C1" s="634"/>
      <c r="D1" s="620" t="str">
        <f>פרמטרים!B1</f>
        <v>שנת התקציב</v>
      </c>
      <c r="E1" s="621"/>
      <c r="F1" s="152">
        <f>פרמטרים!D1</f>
        <v>2018</v>
      </c>
    </row>
    <row r="2" spans="1:10" ht="26.25" customHeight="1" outlineLevel="1" thickTop="1" thickBot="1">
      <c r="A2" s="102" t="str">
        <f>פרמטרים!A50</f>
        <v>גבול קבוצת וותק</v>
      </c>
      <c r="B2" s="23" t="str">
        <f>פרמטרים!B50</f>
        <v>ניקוד</v>
      </c>
      <c r="C2" s="24" t="str">
        <f>פרמטרים!C50</f>
        <v>הערות</v>
      </c>
      <c r="D2" s="622" t="str">
        <f>פרמטרים!B2</f>
        <v>תקציב</v>
      </c>
      <c r="E2" s="623"/>
      <c r="F2" s="140">
        <f>פרמטרים!D2</f>
        <v>98822015</v>
      </c>
    </row>
    <row r="3" spans="1:10" outlineLevel="1">
      <c r="A3" s="26">
        <f>פרמטרים!A51</f>
        <v>10</v>
      </c>
      <c r="B3" s="27">
        <f>פרמטרים!B51</f>
        <v>1</v>
      </c>
      <c r="C3" s="31" t="str">
        <f>פרמטרים!C51</f>
        <v>ניקוד לכל שנה</v>
      </c>
    </row>
    <row r="4" spans="1:10" ht="22.5" customHeight="1" outlineLevel="1">
      <c r="A4" s="28">
        <f>פרמטרים!A52</f>
        <v>50</v>
      </c>
      <c r="B4" s="29">
        <f>פרמטרים!B52</f>
        <v>1.5</v>
      </c>
      <c r="C4" s="32" t="str">
        <f>פרמטרים!C52</f>
        <v>10 + ניקוד לכל שנה מ- 11 עד 50</v>
      </c>
    </row>
    <row r="5" spans="1:10" ht="13.5" outlineLevel="1" thickBot="1">
      <c r="A5" s="34" t="str">
        <f>פרמטרים!A53</f>
        <v>&gt;50</v>
      </c>
      <c r="B5" s="30">
        <f>פרמטרים!B53</f>
        <v>70</v>
      </c>
      <c r="C5" s="33" t="str">
        <f>פרמטרים!C53</f>
        <v>ניקוד מלא</v>
      </c>
    </row>
    <row r="6" spans="1:10" ht="14.25" outlineLevel="1" thickTop="1" thickBot="1"/>
    <row r="7" spans="1:10" ht="17.25" thickTop="1" thickBot="1">
      <c r="A7" s="615" t="s">
        <v>72</v>
      </c>
      <c r="B7" s="616"/>
      <c r="C7" s="616"/>
      <c r="D7" s="616"/>
      <c r="E7" s="616"/>
      <c r="F7" s="617"/>
    </row>
    <row r="8" spans="1:10" ht="33" thickTop="1" thickBot="1">
      <c r="A8" s="4" t="str">
        <f>סיווג!A12</f>
        <v>מספר סידורי</v>
      </c>
      <c r="B8" s="2" t="str">
        <f>סיווג!B12</f>
        <v>שם התיאטרון</v>
      </c>
      <c r="C8" s="2" t="s">
        <v>150</v>
      </c>
      <c r="D8" s="2" t="s">
        <v>5</v>
      </c>
      <c r="E8" s="2" t="s">
        <v>69</v>
      </c>
      <c r="F8" s="5" t="s">
        <v>154</v>
      </c>
    </row>
    <row r="9" spans="1:10">
      <c r="A9" s="78">
        <f>סיווג!A14</f>
        <v>1</v>
      </c>
      <c r="B9" s="79" t="str">
        <f>IF(סיווג!B14=0,"",סיווג!B14)</f>
        <v>הבימה</v>
      </c>
      <c r="C9" s="87">
        <f>IF(B9="","",סיווג!X14)</f>
        <v>1</v>
      </c>
      <c r="D9" s="93">
        <f>סיווג!R14</f>
        <v>87</v>
      </c>
      <c r="E9" s="90">
        <f t="shared" ref="E9:E41" si="0">IF(OR(C9="",D9=""),"",C9*IF(D9&lt;$A$3+1,D9*$B$3,MIN($A$3*$B$3+(D9-$A$3)*$B$4,$B$5)))</f>
        <v>70</v>
      </c>
      <c r="F9" s="91">
        <f t="shared" ref="F9:F41" si="1">IF(ISERR(E9/$E$42),"",E9/$E$42)</f>
        <v>0.12354939769668624</v>
      </c>
      <c r="J9" s="3"/>
    </row>
    <row r="10" spans="1:10">
      <c r="A10" s="80">
        <f>סיווג!A15</f>
        <v>2</v>
      </c>
      <c r="B10" s="81" t="str">
        <f>IF(סיווג!B15=0,"",סיווג!B15)</f>
        <v>הקאמרי</v>
      </c>
      <c r="C10" s="88">
        <f>IF(B10="","",סיווג!X15)</f>
        <v>1</v>
      </c>
      <c r="D10" s="93">
        <f>סיווג!R15</f>
        <v>73</v>
      </c>
      <c r="E10" s="90">
        <f t="shared" si="0"/>
        <v>70</v>
      </c>
      <c r="F10" s="91">
        <f t="shared" si="1"/>
        <v>0.12354939769668624</v>
      </c>
      <c r="J10" s="3"/>
    </row>
    <row r="11" spans="1:10">
      <c r="A11" s="80">
        <f>סיווג!A16</f>
        <v>3</v>
      </c>
      <c r="B11" s="81" t="str">
        <f>IF(סיווג!B16=0,"",סיווג!B16)</f>
        <v>בית לסין</v>
      </c>
      <c r="C11" s="88">
        <f>IF(B11="","",סיווג!X16)</f>
        <v>1</v>
      </c>
      <c r="D11" s="93">
        <f>סיווג!R16</f>
        <v>36</v>
      </c>
      <c r="E11" s="90">
        <f t="shared" si="0"/>
        <v>49</v>
      </c>
      <c r="F11" s="91">
        <f t="shared" si="1"/>
        <v>8.6484578387680366E-2</v>
      </c>
      <c r="J11" s="3"/>
    </row>
    <row r="12" spans="1:10">
      <c r="A12" s="80">
        <f>סיווג!A17</f>
        <v>4</v>
      </c>
      <c r="B12" s="81" t="str">
        <f>IF(סיווג!B17=0,"",סיווג!B17)</f>
        <v>חיפה</v>
      </c>
      <c r="C12" s="88">
        <f>IF(B12="","",סיווג!X17)</f>
        <v>0.8</v>
      </c>
      <c r="D12" s="93">
        <f>סיווג!R17</f>
        <v>56</v>
      </c>
      <c r="E12" s="90">
        <f t="shared" si="0"/>
        <v>56</v>
      </c>
      <c r="F12" s="91">
        <f t="shared" si="1"/>
        <v>9.8839518157348996E-2</v>
      </c>
      <c r="J12" s="3"/>
    </row>
    <row r="13" spans="1:10">
      <c r="A13" s="80">
        <f>סיווג!A18</f>
        <v>5</v>
      </c>
      <c r="B13" s="81" t="str">
        <f>IF(סיווג!B18=0,"",סיווג!B18)</f>
        <v>באר שבע</v>
      </c>
      <c r="C13" s="88">
        <f>IF(B13="","",סיווג!X18)</f>
        <v>0.8</v>
      </c>
      <c r="D13" s="93">
        <f>סיווג!R18</f>
        <v>44</v>
      </c>
      <c r="E13" s="90">
        <f t="shared" si="0"/>
        <v>48.800000000000004</v>
      </c>
      <c r="F13" s="91">
        <f t="shared" si="1"/>
        <v>8.613158010854699E-2</v>
      </c>
      <c r="J13" s="3"/>
    </row>
    <row r="14" spans="1:10">
      <c r="A14" s="80">
        <f>סיווג!A19</f>
        <v>6</v>
      </c>
      <c r="B14" s="81" t="str">
        <f>IF(סיווג!B19=0,"",סיווג!B19)</f>
        <v>גשר</v>
      </c>
      <c r="C14" s="88">
        <f>IF(B14="","",סיווג!X19)</f>
        <v>0.8</v>
      </c>
      <c r="D14" s="93">
        <f>סיווג!R19</f>
        <v>26</v>
      </c>
      <c r="E14" s="90">
        <f t="shared" si="0"/>
        <v>27.200000000000003</v>
      </c>
      <c r="F14" s="91">
        <f t="shared" si="1"/>
        <v>4.8007765962140944E-2</v>
      </c>
      <c r="J14" s="3"/>
    </row>
    <row r="15" spans="1:10">
      <c r="A15" s="80">
        <f>סיווג!A20</f>
        <v>7</v>
      </c>
      <c r="B15" s="81" t="str">
        <f>IF(סיווג!B20=0,"",סיווג!B20)</f>
        <v>החאן</v>
      </c>
      <c r="C15" s="88">
        <f>IF(B15="","",סיווג!X20)</f>
        <v>0.8</v>
      </c>
      <c r="D15" s="93">
        <f>סיווג!R20</f>
        <v>49</v>
      </c>
      <c r="E15" s="90">
        <f t="shared" si="0"/>
        <v>54.800000000000004</v>
      </c>
      <c r="F15" s="91">
        <f t="shared" si="1"/>
        <v>9.6721528482548669E-2</v>
      </c>
      <c r="J15" s="3"/>
    </row>
    <row r="16" spans="1:10">
      <c r="A16" s="80">
        <f>סיווג!A21</f>
        <v>8</v>
      </c>
      <c r="B16" s="81" t="str">
        <f>IF(סיווג!B21=0,"",סיווג!B21)</f>
        <v>היידישפיל</v>
      </c>
      <c r="C16" s="88">
        <f>IF(B16="","",סיווג!X21)</f>
        <v>0.8</v>
      </c>
      <c r="D16" s="93">
        <f>סיווג!R21</f>
        <v>30</v>
      </c>
      <c r="E16" s="90">
        <f t="shared" si="0"/>
        <v>32</v>
      </c>
      <c r="F16" s="91">
        <f t="shared" si="1"/>
        <v>5.6479724661342282E-2</v>
      </c>
      <c r="J16" s="3"/>
    </row>
    <row r="17" spans="1:10">
      <c r="A17" s="80">
        <f>סיווג!A22</f>
        <v>9</v>
      </c>
      <c r="B17" s="81" t="str">
        <f>IF(סיווג!B22=0,"",סיווג!B22)</f>
        <v>תיאטרון אלמידאן</v>
      </c>
      <c r="C17" s="88">
        <f>IF(B17="","",סיווג!X22)</f>
        <v>0</v>
      </c>
      <c r="D17" s="93">
        <f>סיווג!R22</f>
        <v>22</v>
      </c>
      <c r="E17" s="90">
        <f t="shared" si="0"/>
        <v>0</v>
      </c>
      <c r="F17" s="91">
        <f t="shared" si="1"/>
        <v>0</v>
      </c>
      <c r="J17" s="3"/>
    </row>
    <row r="18" spans="1:10">
      <c r="A18" s="80">
        <f>סיווג!A23</f>
        <v>10</v>
      </c>
      <c r="B18" s="81" t="str">
        <f>IF(סיווג!B23=0,"",סיווג!B23)</f>
        <v>הזירה הבין תחומית</v>
      </c>
      <c r="C18" s="88">
        <f>IF(B18="","",סיווג!X23)</f>
        <v>0.25</v>
      </c>
      <c r="D18" s="93">
        <f>סיווג!R23</f>
        <v>18</v>
      </c>
      <c r="E18" s="90">
        <f t="shared" si="0"/>
        <v>5.5</v>
      </c>
      <c r="F18" s="91">
        <f t="shared" si="1"/>
        <v>9.7074526761682049E-3</v>
      </c>
      <c r="J18" s="3"/>
    </row>
    <row r="19" spans="1:10">
      <c r="A19" s="80">
        <f>סיווג!A24</f>
        <v>11</v>
      </c>
      <c r="B19" s="81" t="str">
        <f>IF(סיווג!B24=0,"",סיווג!B24)</f>
        <v>אספקלריא</v>
      </c>
      <c r="C19" s="88">
        <f>IF(B19="","",סיווג!X24)</f>
        <v>0.25</v>
      </c>
      <c r="D19" s="93">
        <f>סיווג!R24</f>
        <v>13</v>
      </c>
      <c r="E19" s="90">
        <f t="shared" si="0"/>
        <v>3.625</v>
      </c>
      <c r="F19" s="91">
        <f t="shared" si="1"/>
        <v>6.3980938092926803E-3</v>
      </c>
      <c r="J19" s="3"/>
    </row>
    <row r="20" spans="1:10">
      <c r="A20" s="80">
        <f>סיווג!A25</f>
        <v>12</v>
      </c>
      <c r="B20" s="81" t="str">
        <f>IF(סיווג!B25=0,"",סיווג!B25)</f>
        <v/>
      </c>
      <c r="C20" s="88" t="str">
        <f>IF(B20="","",סיווג!X25)</f>
        <v/>
      </c>
      <c r="D20" s="93" t="str">
        <f>סיווג!R25</f>
        <v/>
      </c>
      <c r="E20" s="90" t="str">
        <f t="shared" si="0"/>
        <v/>
      </c>
      <c r="F20" s="91" t="str">
        <f t="shared" si="1"/>
        <v/>
      </c>
      <c r="J20" s="3"/>
    </row>
    <row r="21" spans="1:10">
      <c r="A21" s="80">
        <f>סיווג!A26</f>
        <v>13</v>
      </c>
      <c r="B21" s="81" t="str">
        <f>IF(סיווג!B26=0,"",סיווג!B26)</f>
        <v>עכו</v>
      </c>
      <c r="C21" s="88">
        <f>IF(B21="","",סיווג!X26)</f>
        <v>0.25</v>
      </c>
      <c r="D21" s="93">
        <f>סיווג!R26</f>
        <v>33</v>
      </c>
      <c r="E21" s="90">
        <f t="shared" si="0"/>
        <v>11.125</v>
      </c>
      <c r="F21" s="91">
        <f t="shared" si="1"/>
        <v>1.9635529276794777E-2</v>
      </c>
      <c r="J21" s="3"/>
    </row>
    <row r="22" spans="1:10">
      <c r="A22" s="80">
        <f>סיווג!A27</f>
        <v>14</v>
      </c>
      <c r="B22" s="81" t="str">
        <f>IF(סיווג!B27=0,"",סיווג!B27)</f>
        <v>הספרייה</v>
      </c>
      <c r="C22" s="88">
        <f>IF(B22="","",סיווג!X27)</f>
        <v>0.25</v>
      </c>
      <c r="D22" s="93">
        <f>סיווג!R27</f>
        <v>12</v>
      </c>
      <c r="E22" s="90">
        <f t="shared" si="0"/>
        <v>3.25</v>
      </c>
      <c r="F22" s="91">
        <f t="shared" si="1"/>
        <v>5.7362220359175754E-3</v>
      </c>
      <c r="J22" s="3"/>
    </row>
    <row r="23" spans="1:10">
      <c r="A23" s="80">
        <f>סיווג!A28</f>
        <v>15</v>
      </c>
      <c r="B23" s="81" t="str">
        <f>IF(סיווג!B28=0,"",סיווג!B28)</f>
        <v>יפו</v>
      </c>
      <c r="C23" s="88">
        <f>IF(B23="","",סיווג!X28)</f>
        <v>0.25</v>
      </c>
      <c r="D23" s="93">
        <f>סיווג!R28</f>
        <v>23</v>
      </c>
      <c r="E23" s="90">
        <f t="shared" si="0"/>
        <v>7.375</v>
      </c>
      <c r="F23" s="91">
        <f t="shared" si="1"/>
        <v>1.3016811543043729E-2</v>
      </c>
      <c r="J23" s="3"/>
    </row>
    <row r="24" spans="1:10">
      <c r="A24" s="80">
        <f>סיווג!A29</f>
        <v>16</v>
      </c>
      <c r="B24" s="81" t="str">
        <f>IF(סיווג!B29=0,"",סיווג!B29)</f>
        <v/>
      </c>
      <c r="C24" s="88" t="str">
        <f>IF(B24="","",סיווג!X29)</f>
        <v/>
      </c>
      <c r="D24" s="93" t="str">
        <f>סיווג!R29</f>
        <v/>
      </c>
      <c r="E24" s="90" t="str">
        <f t="shared" si="0"/>
        <v/>
      </c>
      <c r="F24" s="91" t="str">
        <f t="shared" si="1"/>
        <v/>
      </c>
      <c r="J24" s="3"/>
    </row>
    <row r="25" spans="1:10">
      <c r="A25" s="80">
        <f>סיווג!A30</f>
        <v>17</v>
      </c>
      <c r="B25" s="81" t="str">
        <f>IF(סיווג!B30=0,"",סיווג!B30)</f>
        <v>אינקובטור</v>
      </c>
      <c r="C25" s="88">
        <f>IF(B25="","",סיווג!X30)</f>
        <v>0.25</v>
      </c>
      <c r="D25" s="93">
        <f>סיווג!R30</f>
        <v>9</v>
      </c>
      <c r="E25" s="90">
        <f t="shared" si="0"/>
        <v>2.25</v>
      </c>
      <c r="F25" s="91">
        <f t="shared" si="1"/>
        <v>3.9712306402506295E-3</v>
      </c>
      <c r="J25" s="3"/>
    </row>
    <row r="26" spans="1:10">
      <c r="A26" s="80">
        <f>סיווג!A31</f>
        <v>18</v>
      </c>
      <c r="B26" s="81" t="str">
        <f>IF(סיווג!B31=0,"",סיווג!B31)</f>
        <v>אורנה פורת</v>
      </c>
      <c r="C26" s="88">
        <f>IF(B26="","",סיווג!X31)</f>
        <v>0.6</v>
      </c>
      <c r="D26" s="93">
        <f>סיווג!R31</f>
        <v>46</v>
      </c>
      <c r="E26" s="90">
        <f t="shared" si="0"/>
        <v>38.4</v>
      </c>
      <c r="F26" s="91">
        <f t="shared" si="1"/>
        <v>6.7775669593610741E-2</v>
      </c>
      <c r="J26" s="3"/>
    </row>
    <row r="27" spans="1:10">
      <c r="A27" s="80">
        <f>סיווג!A32</f>
        <v>19</v>
      </c>
      <c r="B27" s="81" t="str">
        <f>IF(סיווג!B32=0,"",סיווג!B32)</f>
        <v>ארצי לנוער</v>
      </c>
      <c r="C27" s="88">
        <f>IF(B27="","",סיווג!X32)</f>
        <v>0.6</v>
      </c>
      <c r="D27" s="93">
        <f>סיווג!R32</f>
        <v>25</v>
      </c>
      <c r="E27" s="90">
        <f t="shared" si="0"/>
        <v>19.5</v>
      </c>
      <c r="F27" s="91">
        <f t="shared" si="1"/>
        <v>3.4417332215505456E-2</v>
      </c>
    </row>
    <row r="28" spans="1:10">
      <c r="A28" s="80">
        <f>סיווג!A33</f>
        <v>20</v>
      </c>
      <c r="B28" s="81" t="str">
        <f>IF(סיווג!B33=0,"",סיווג!B33)</f>
        <v>הקיבוץ</v>
      </c>
      <c r="C28" s="88">
        <f>IF(B28="","",סיווג!X33)</f>
        <v>0.2</v>
      </c>
      <c r="D28" s="93">
        <f>סיווג!R33</f>
        <v>30</v>
      </c>
      <c r="E28" s="90">
        <f t="shared" si="0"/>
        <v>8</v>
      </c>
      <c r="F28" s="91">
        <f t="shared" si="1"/>
        <v>1.411993116533557E-2</v>
      </c>
    </row>
    <row r="29" spans="1:10">
      <c r="A29" s="80">
        <f>סיווג!A34</f>
        <v>21</v>
      </c>
      <c r="B29" s="81" t="str">
        <f>IF(סיווג!B34=0,"",סיווג!B34)</f>
        <v>הקרון</v>
      </c>
      <c r="C29" s="88">
        <f>IF(B29="","",סיווג!X34)</f>
        <v>0.2</v>
      </c>
      <c r="D29" s="93">
        <f>סיווג!R34</f>
        <v>36</v>
      </c>
      <c r="E29" s="90">
        <f t="shared" si="0"/>
        <v>9.8000000000000007</v>
      </c>
      <c r="F29" s="91">
        <f t="shared" si="1"/>
        <v>1.7296915677536075E-2</v>
      </c>
    </row>
    <row r="30" spans="1:10">
      <c r="A30" s="80">
        <f>סיווג!A35</f>
        <v>22</v>
      </c>
      <c r="B30" s="81" t="str">
        <f>IF(סיווג!B35=0,"",סיווג!B35)</f>
        <v>בית הגפן</v>
      </c>
      <c r="C30" s="88">
        <f>IF(B30="","",סיווג!X35)</f>
        <v>0.2</v>
      </c>
      <c r="D30" s="93">
        <f>סיווג!R35</f>
        <v>34</v>
      </c>
      <c r="E30" s="90">
        <f t="shared" si="0"/>
        <v>9.2000000000000011</v>
      </c>
      <c r="F30" s="91">
        <f t="shared" si="1"/>
        <v>1.6237920840135908E-2</v>
      </c>
    </row>
    <row r="31" spans="1:10">
      <c r="A31" s="80">
        <f>סיווג!A36</f>
        <v>23</v>
      </c>
      <c r="B31" s="81" t="str">
        <f>IF(סיווג!B36=0,"",סיווג!B36)</f>
        <v>הנפש</v>
      </c>
      <c r="C31" s="88">
        <f>IF(B31="","",סיווג!X36)</f>
        <v>0.2</v>
      </c>
      <c r="D31" s="93">
        <f>סיווג!R36</f>
        <v>31</v>
      </c>
      <c r="E31" s="90">
        <f t="shared" si="0"/>
        <v>8.3000000000000007</v>
      </c>
      <c r="F31" s="91">
        <f t="shared" si="1"/>
        <v>1.4649428584035656E-2</v>
      </c>
      <c r="J31" s="20"/>
    </row>
    <row r="32" spans="1:10">
      <c r="A32" s="80">
        <f>סיווג!A37</f>
        <v>24</v>
      </c>
      <c r="B32" s="81" t="str">
        <f>IF(סיווג!B37=0,"",סיווג!B37)</f>
        <v>השעה</v>
      </c>
      <c r="C32" s="88">
        <f>IF(B32="","",סיווג!X37)</f>
        <v>0.6</v>
      </c>
      <c r="D32" s="93">
        <f>סיווג!R37</f>
        <v>21</v>
      </c>
      <c r="E32" s="90">
        <f t="shared" si="0"/>
        <v>15.899999999999999</v>
      </c>
      <c r="F32" s="91">
        <f t="shared" si="1"/>
        <v>2.8063363191104446E-2</v>
      </c>
    </row>
    <row r="33" spans="1:6">
      <c r="A33" s="80">
        <f>סיווג!A38</f>
        <v>25</v>
      </c>
      <c r="B33" s="81" t="str">
        <f>IF(סיווג!B38=0,"",סיווג!B38)</f>
        <v>עדי</v>
      </c>
      <c r="C33" s="88">
        <f>IF(B33="","",סיווג!X38)</f>
        <v>0.2</v>
      </c>
      <c r="D33" s="93">
        <f>סיווג!R38</f>
        <v>15</v>
      </c>
      <c r="E33" s="90">
        <f t="shared" si="0"/>
        <v>3.5</v>
      </c>
      <c r="F33" s="91">
        <f t="shared" si="1"/>
        <v>6.1774698848343123E-3</v>
      </c>
    </row>
    <row r="34" spans="1:6">
      <c r="A34" s="80">
        <f>סיווג!A39</f>
        <v>26</v>
      </c>
      <c r="B34" s="81" t="str">
        <f>IF(סיווג!B39=0,"",סיווג!B39)</f>
        <v>מדייטק</v>
      </c>
      <c r="C34" s="88">
        <f>IF(B34="","",סיווג!X39)</f>
        <v>0.4</v>
      </c>
      <c r="D34" s="93">
        <f>סיווג!R39</f>
        <v>13</v>
      </c>
      <c r="E34" s="90">
        <f t="shared" si="0"/>
        <v>5.8000000000000007</v>
      </c>
      <c r="F34" s="91">
        <f t="shared" si="1"/>
        <v>1.023695009486829E-2</v>
      </c>
    </row>
    <row r="35" spans="1:6">
      <c r="A35" s="80">
        <f>סיווג!A40</f>
        <v>27</v>
      </c>
      <c r="B35" s="81" t="str">
        <f>IF(סיווג!B40=0,"",סיווג!B40)</f>
        <v>חני</v>
      </c>
      <c r="C35" s="88">
        <f>IF(B35="","",סיווג!X40)</f>
        <v>0.2</v>
      </c>
      <c r="D35" s="93">
        <f>סיווג!R40</f>
        <v>15</v>
      </c>
      <c r="E35" s="90">
        <f t="shared" si="0"/>
        <v>3.5</v>
      </c>
      <c r="F35" s="91">
        <f t="shared" si="1"/>
        <v>6.1774698848343123E-3</v>
      </c>
    </row>
    <row r="36" spans="1:6">
      <c r="A36" s="80">
        <f>סיווג!A41</f>
        <v>28</v>
      </c>
      <c r="B36" s="81" t="str">
        <f>IF(סיווג!B41=0,"",סיווג!B41)</f>
        <v xml:space="preserve">גשן </v>
      </c>
      <c r="C36" s="88">
        <f>IF(B36="","",סיווג!X41)</f>
        <v>0.2</v>
      </c>
      <c r="D36" s="93">
        <f>סיווג!R41</f>
        <v>10</v>
      </c>
      <c r="E36" s="90">
        <f t="shared" si="0"/>
        <v>2</v>
      </c>
      <c r="F36" s="91">
        <f t="shared" si="1"/>
        <v>3.5299827913338926E-3</v>
      </c>
    </row>
    <row r="37" spans="1:6">
      <c r="A37" s="80">
        <f>סיווג!A42</f>
        <v>29</v>
      </c>
      <c r="B37" s="81" t="str">
        <f>IF(סיווג!B42=0,"",סיווג!B42)</f>
        <v>תיאטרון העברי</v>
      </c>
      <c r="C37" s="88">
        <f>IF(B37="","",סיווג!X42)</f>
        <v>0.25</v>
      </c>
      <c r="D37" s="93">
        <f>סיווג!R42</f>
        <v>7</v>
      </c>
      <c r="E37" s="90">
        <f t="shared" si="0"/>
        <v>1.75</v>
      </c>
      <c r="F37" s="91">
        <f t="shared" si="1"/>
        <v>3.0887349424171561E-3</v>
      </c>
    </row>
    <row r="38" spans="1:6">
      <c r="A38" s="80">
        <f>סיווג!A43</f>
        <v>30</v>
      </c>
      <c r="B38" s="81" t="str">
        <f>IF(סיווג!B43=0,"",סיווג!B43)</f>
        <v>גליון ריק 2</v>
      </c>
      <c r="C38" s="88">
        <f>IF(B38="","",סיווג!X43)</f>
        <v>0</v>
      </c>
      <c r="D38" s="93" t="str">
        <f>סיווג!R43</f>
        <v/>
      </c>
      <c r="E38" s="90" t="str">
        <f t="shared" si="0"/>
        <v/>
      </c>
      <c r="F38" s="91" t="str">
        <f t="shared" si="1"/>
        <v/>
      </c>
    </row>
    <row r="39" spans="1:6">
      <c r="A39" s="80">
        <f>סיווג!A44</f>
        <v>31</v>
      </c>
      <c r="B39" s="81" t="str">
        <f>IF(סיווג!B44=0,"",סיווג!B44)</f>
        <v>גליון ריק 3</v>
      </c>
      <c r="C39" s="88">
        <f>IF(B39="","",סיווג!X44)</f>
        <v>0</v>
      </c>
      <c r="D39" s="93" t="str">
        <f>סיווג!R44</f>
        <v/>
      </c>
      <c r="E39" s="90" t="str">
        <f t="shared" si="0"/>
        <v/>
      </c>
      <c r="F39" s="91" t="str">
        <f t="shared" si="1"/>
        <v/>
      </c>
    </row>
    <row r="40" spans="1:6">
      <c r="A40" s="80">
        <f>סיווג!A45</f>
        <v>32</v>
      </c>
      <c r="B40" s="81" t="str">
        <f>IF(סיווג!B45=0,"",סיווג!B45)</f>
        <v/>
      </c>
      <c r="C40" s="88" t="str">
        <f>IF(B40="","",סיווג!X45)</f>
        <v/>
      </c>
      <c r="D40" s="93" t="str">
        <f>סיווג!R45</f>
        <v/>
      </c>
      <c r="E40" s="90" t="str">
        <f t="shared" si="0"/>
        <v/>
      </c>
      <c r="F40" s="91" t="str">
        <f t="shared" si="1"/>
        <v/>
      </c>
    </row>
    <row r="41" spans="1:6" ht="13.5" thickBot="1">
      <c r="A41" s="82">
        <f>סיווג!A46</f>
        <v>33</v>
      </c>
      <c r="B41" s="83" t="str">
        <f>IF(סיווג!B46=0,"",סיווג!B46)</f>
        <v/>
      </c>
      <c r="C41" s="89" t="str">
        <f>IF(B41="","",סיווג!X46)</f>
        <v/>
      </c>
      <c r="D41" s="93" t="str">
        <f>סיווג!R46</f>
        <v/>
      </c>
      <c r="E41" s="90" t="str">
        <f t="shared" si="0"/>
        <v/>
      </c>
      <c r="F41" s="91" t="str">
        <f t="shared" si="1"/>
        <v/>
      </c>
    </row>
    <row r="42" spans="1:6" ht="14.25" thickTop="1" thickBot="1">
      <c r="A42" s="618" t="s">
        <v>26</v>
      </c>
      <c r="B42" s="650"/>
      <c r="C42" s="650"/>
      <c r="D42" s="651"/>
      <c r="E42" s="6">
        <f>SUM(E9:E41)</f>
        <v>566.57499999999993</v>
      </c>
      <c r="F42" s="7">
        <f>SUM(F9:F41)</f>
        <v>1.0000000000000002</v>
      </c>
    </row>
    <row r="43" spans="1:6" ht="13.5" thickTop="1"/>
  </sheetData>
  <sheetProtection password="CC01" sheet="1" objects="1" scenarios="1" formatColumns="0" formatRows="0"/>
  <mergeCells count="5">
    <mergeCell ref="A7:F7"/>
    <mergeCell ref="A1:C1"/>
    <mergeCell ref="A42:D42"/>
    <mergeCell ref="D1:E1"/>
    <mergeCell ref="D2:E2"/>
  </mergeCells>
  <phoneticPr fontId="5" type="noConversion"/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46"/>
    <pageSetUpPr fitToPage="1"/>
  </sheetPr>
  <dimension ref="A1:I43"/>
  <sheetViews>
    <sheetView rightToLeft="1" view="pageBreakPreview" topLeftCell="A5" zoomScaleSheetLayoutView="100" workbookViewId="0">
      <selection activeCell="B22" sqref="B22"/>
    </sheetView>
  </sheetViews>
  <sheetFormatPr defaultRowHeight="12.75" outlineLevelRow="1"/>
  <cols>
    <col min="1" max="1" width="10" bestFit="1" customWidth="1"/>
    <col min="2" max="2" width="26.5703125" customWidth="1"/>
    <col min="3" max="3" width="12.140625" bestFit="1" customWidth="1"/>
    <col min="4" max="4" width="16.140625" bestFit="1" customWidth="1"/>
    <col min="5" max="5" width="13.42578125" customWidth="1"/>
    <col min="6" max="6" width="12.28515625" customWidth="1"/>
    <col min="7" max="7" width="9.5703125" bestFit="1" customWidth="1"/>
    <col min="8" max="8" width="9.140625" hidden="1" customWidth="1"/>
  </cols>
  <sheetData>
    <row r="1" spans="1:9" ht="14.25" hidden="1" outlineLevel="1" thickTop="1" thickBot="1">
      <c r="B1" s="632" t="str">
        <f>פרמטרים!K17</f>
        <v>מפתח ניקוד</v>
      </c>
      <c r="C1" s="633"/>
      <c r="D1" s="634"/>
    </row>
    <row r="2" spans="1:9" ht="13.5" hidden="1" outlineLevel="1" thickBot="1">
      <c r="B2" s="652" t="str">
        <f>פרמטרים!K18</f>
        <v>קריטריון</v>
      </c>
      <c r="C2" s="653"/>
      <c r="D2" s="49" t="str">
        <f>פרמטרים!M18</f>
        <v>ניקוד</v>
      </c>
    </row>
    <row r="3" spans="1:9" ht="26.25" hidden="1" customHeight="1" outlineLevel="1">
      <c r="B3" s="654" t="str">
        <f>פרמטרים!K19</f>
        <v>תיאטרון שמרבית הרצותיו הן בשפה שאינה עברית או שמרבית השחקנים והצוות האמנותי שהוא מעסיק הם עולים חדשים המצויים בישראל תקופה שאינה עולה על 20 שנים</v>
      </c>
      <c r="C3" s="655"/>
      <c r="D3" s="658">
        <f>פרמטרים!M19</f>
        <v>1</v>
      </c>
    </row>
    <row r="4" spans="1:9" ht="26.25" hidden="1" customHeight="1" outlineLevel="1" thickBot="1">
      <c r="B4" s="656"/>
      <c r="C4" s="657"/>
      <c r="D4" s="659"/>
    </row>
    <row r="5" spans="1:9" ht="17.25" collapsed="1" thickTop="1" thickBot="1">
      <c r="B5" s="620" t="str">
        <f>פרמטרים!B1</f>
        <v>שנת התקציב</v>
      </c>
      <c r="C5" s="660"/>
      <c r="D5" s="152">
        <f>פרמטרים!D1</f>
        <v>2018</v>
      </c>
    </row>
    <row r="6" spans="1:9" ht="16.5" thickBot="1">
      <c r="B6" s="622" t="str">
        <f>פרמטרים!B2</f>
        <v>תקציב</v>
      </c>
      <c r="C6" s="661"/>
      <c r="D6" s="140">
        <f>פרמטרים!D2</f>
        <v>98822015</v>
      </c>
    </row>
    <row r="7" spans="1:9" ht="17.25" thickTop="1" thickBot="1">
      <c r="A7" s="615" t="s">
        <v>82</v>
      </c>
      <c r="B7" s="616"/>
      <c r="C7" s="616"/>
      <c r="D7" s="616"/>
      <c r="E7" s="616"/>
      <c r="F7" s="617"/>
    </row>
    <row r="8" spans="1:9" ht="33" thickTop="1" thickBot="1">
      <c r="A8" s="4" t="str">
        <f>סיווג!A12</f>
        <v>מספר סידורי</v>
      </c>
      <c r="B8" s="2" t="str">
        <f>סיווג!B12</f>
        <v>שם התיאטרון</v>
      </c>
      <c r="C8" s="2" t="s">
        <v>20</v>
      </c>
      <c r="D8" s="2" t="s">
        <v>268</v>
      </c>
      <c r="E8" s="2" t="s">
        <v>269</v>
      </c>
      <c r="F8" s="5" t="s">
        <v>154</v>
      </c>
    </row>
    <row r="9" spans="1:9">
      <c r="A9" s="78">
        <f>סיווג!A14</f>
        <v>1</v>
      </c>
      <c r="B9" s="79" t="str">
        <f>IF(סיווג!B14=0,"",סיווג!B14)</f>
        <v>הבימה</v>
      </c>
      <c r="C9" s="339">
        <f>הרצות!G6</f>
        <v>9504.7999999999993</v>
      </c>
      <c r="D9" s="70"/>
      <c r="E9" s="95">
        <f t="shared" ref="E9:E41" si="0">IF(OR(ISERR(1*C9),H9="BAD"),"",D9*C9)</f>
        <v>0</v>
      </c>
      <c r="F9" s="91">
        <f t="shared" ref="F9:F41" si="1">IF(ISERR(E9/$E$42),"",E9/$E$42)</f>
        <v>0</v>
      </c>
      <c r="H9" s="58">
        <f t="shared" ref="H9:H41" si="2">IF(B9="","",IF(D9=1,1,IF(D9=0,0,"BAD")))</f>
        <v>0</v>
      </c>
      <c r="I9" s="3"/>
    </row>
    <row r="10" spans="1:9">
      <c r="A10" s="80">
        <f>סיווג!A15</f>
        <v>2</v>
      </c>
      <c r="B10" s="81" t="str">
        <f>IF(סיווג!B15=0,"",סיווג!B15)</f>
        <v>הקאמרי</v>
      </c>
      <c r="C10" s="339">
        <f>הרצות!G7</f>
        <v>15221.4</v>
      </c>
      <c r="D10" s="70"/>
      <c r="E10" s="96">
        <f t="shared" si="0"/>
        <v>0</v>
      </c>
      <c r="F10" s="91">
        <f t="shared" si="1"/>
        <v>0</v>
      </c>
      <c r="H10" s="58">
        <f t="shared" si="2"/>
        <v>0</v>
      </c>
      <c r="I10" s="3"/>
    </row>
    <row r="11" spans="1:9">
      <c r="A11" s="80">
        <f>סיווג!A16</f>
        <v>3</v>
      </c>
      <c r="B11" s="81" t="str">
        <f>IF(סיווג!B16=0,"",סיווג!B16)</f>
        <v>בית לסין</v>
      </c>
      <c r="C11" s="339">
        <f>הרצות!G8</f>
        <v>10142</v>
      </c>
      <c r="D11" s="70"/>
      <c r="E11" s="96">
        <f t="shared" si="0"/>
        <v>0</v>
      </c>
      <c r="F11" s="91">
        <f t="shared" si="1"/>
        <v>0</v>
      </c>
      <c r="H11" s="58">
        <f t="shared" si="2"/>
        <v>0</v>
      </c>
      <c r="I11" s="3"/>
    </row>
    <row r="12" spans="1:9">
      <c r="A12" s="80">
        <f>סיווג!A17</f>
        <v>4</v>
      </c>
      <c r="B12" s="81" t="str">
        <f>IF(סיווג!B17=0,"",סיווג!B17)</f>
        <v>חיפה</v>
      </c>
      <c r="C12" s="339">
        <f>הרצות!G9</f>
        <v>2636.4</v>
      </c>
      <c r="D12" s="70"/>
      <c r="E12" s="96">
        <f t="shared" si="0"/>
        <v>0</v>
      </c>
      <c r="F12" s="91">
        <f t="shared" si="1"/>
        <v>0</v>
      </c>
      <c r="H12" s="58">
        <f t="shared" si="2"/>
        <v>0</v>
      </c>
      <c r="I12" s="3"/>
    </row>
    <row r="13" spans="1:9">
      <c r="A13" s="80">
        <f>סיווג!A18</f>
        <v>5</v>
      </c>
      <c r="B13" s="81" t="str">
        <f>IF(סיווג!B18=0,"",סיווג!B18)</f>
        <v>באר שבע</v>
      </c>
      <c r="C13" s="339">
        <f>הרצות!G10</f>
        <v>2445.2000000000003</v>
      </c>
      <c r="D13" s="70"/>
      <c r="E13" s="96">
        <f t="shared" si="0"/>
        <v>0</v>
      </c>
      <c r="F13" s="91">
        <f t="shared" si="1"/>
        <v>0</v>
      </c>
      <c r="H13" s="58">
        <f t="shared" si="2"/>
        <v>0</v>
      </c>
      <c r="I13" s="3"/>
    </row>
    <row r="14" spans="1:9">
      <c r="A14" s="80">
        <f>סיווג!A19</f>
        <v>6</v>
      </c>
      <c r="B14" s="81" t="str">
        <f>IF(סיווג!B19=0,"",סיווג!B19)</f>
        <v>גשר</v>
      </c>
      <c r="C14" s="339">
        <f>הרצות!G11</f>
        <v>2015.4400000000003</v>
      </c>
      <c r="D14" s="70">
        <v>1</v>
      </c>
      <c r="E14" s="96">
        <f t="shared" si="0"/>
        <v>2015.4400000000003</v>
      </c>
      <c r="F14" s="91">
        <f t="shared" si="1"/>
        <v>0.39441327444192437</v>
      </c>
      <c r="H14" s="58">
        <f t="shared" si="2"/>
        <v>1</v>
      </c>
      <c r="I14" s="3"/>
    </row>
    <row r="15" spans="1:9">
      <c r="A15" s="80">
        <f>סיווג!A20</f>
        <v>7</v>
      </c>
      <c r="B15" s="81" t="str">
        <f>IF(סיווג!B20=0,"",סיווג!B20)</f>
        <v>החאן</v>
      </c>
      <c r="C15" s="339">
        <f>הרצות!G12</f>
        <v>2021.8400000000001</v>
      </c>
      <c r="D15" s="70"/>
      <c r="E15" s="96">
        <f t="shared" si="0"/>
        <v>0</v>
      </c>
      <c r="F15" s="91">
        <f t="shared" si="1"/>
        <v>0</v>
      </c>
      <c r="H15" s="58">
        <f t="shared" si="2"/>
        <v>0</v>
      </c>
      <c r="I15" s="3"/>
    </row>
    <row r="16" spans="1:9">
      <c r="A16" s="80">
        <f>סיווג!A21</f>
        <v>8</v>
      </c>
      <c r="B16" s="81" t="str">
        <f>IF(סיווג!B21=0,"",סיווג!B21)</f>
        <v>היידישפיל</v>
      </c>
      <c r="C16" s="339">
        <f>הרצות!G13</f>
        <v>2205.6799999999998</v>
      </c>
      <c r="D16" s="70">
        <v>1</v>
      </c>
      <c r="E16" s="96">
        <f t="shared" si="0"/>
        <v>2205.6799999999998</v>
      </c>
      <c r="F16" s="91">
        <f t="shared" si="1"/>
        <v>0.43164245582655081</v>
      </c>
      <c r="H16" s="58">
        <f t="shared" si="2"/>
        <v>1</v>
      </c>
      <c r="I16" s="3"/>
    </row>
    <row r="17" spans="1:9">
      <c r="A17" s="80">
        <f>סיווג!A22</f>
        <v>9</v>
      </c>
      <c r="B17" s="81" t="str">
        <f>IF(סיווג!B22=0,"",סיווג!B22)</f>
        <v>תיאטרון אלמידאן</v>
      </c>
      <c r="C17" s="339">
        <f>הרצות!G14</f>
        <v>0</v>
      </c>
      <c r="D17" s="70">
        <v>1</v>
      </c>
      <c r="E17" s="96">
        <f t="shared" si="0"/>
        <v>0</v>
      </c>
      <c r="F17" s="91">
        <f t="shared" si="1"/>
        <v>0</v>
      </c>
      <c r="H17" s="58">
        <f t="shared" si="2"/>
        <v>1</v>
      </c>
      <c r="I17" s="3"/>
    </row>
    <row r="18" spans="1:9">
      <c r="A18" s="80">
        <f>סיווג!A23</f>
        <v>10</v>
      </c>
      <c r="B18" s="81" t="str">
        <f>IF(סיווג!B23=0,"",סיווג!B23)</f>
        <v>הזירה הבין תחומית</v>
      </c>
      <c r="C18" s="339">
        <f>הרצות!G15</f>
        <v>137.47499999999999</v>
      </c>
      <c r="D18" s="70"/>
      <c r="E18" s="96">
        <f t="shared" si="0"/>
        <v>0</v>
      </c>
      <c r="F18" s="91">
        <f t="shared" si="1"/>
        <v>0</v>
      </c>
      <c r="H18" s="58">
        <f t="shared" si="2"/>
        <v>0</v>
      </c>
      <c r="I18" s="3"/>
    </row>
    <row r="19" spans="1:9">
      <c r="A19" s="80">
        <f>סיווג!A24</f>
        <v>11</v>
      </c>
      <c r="B19" s="81" t="str">
        <f>IF(סיווג!B24=0,"",סיווג!B24)</f>
        <v>אספקלריא</v>
      </c>
      <c r="C19" s="339">
        <f>הרצות!G16</f>
        <v>313.875</v>
      </c>
      <c r="D19" s="70">
        <v>1</v>
      </c>
      <c r="E19" s="96">
        <f t="shared" si="0"/>
        <v>313.875</v>
      </c>
      <c r="F19" s="91">
        <f t="shared" si="1"/>
        <v>6.1424039671465779E-2</v>
      </c>
      <c r="H19" s="58">
        <f t="shared" si="2"/>
        <v>1</v>
      </c>
      <c r="I19" s="3"/>
    </row>
    <row r="20" spans="1:9">
      <c r="A20" s="80">
        <f>סיווג!A25</f>
        <v>12</v>
      </c>
      <c r="B20" s="81" t="str">
        <f>IF(סיווג!B25=0,"",סיווג!B25)</f>
        <v/>
      </c>
      <c r="C20" s="339" t="str">
        <f>הרצות!G17</f>
        <v/>
      </c>
      <c r="D20" s="70"/>
      <c r="E20" s="96" t="str">
        <f t="shared" si="0"/>
        <v/>
      </c>
      <c r="F20" s="91" t="str">
        <f t="shared" si="1"/>
        <v/>
      </c>
      <c r="H20" s="58" t="str">
        <f t="shared" si="2"/>
        <v/>
      </c>
      <c r="I20" s="3"/>
    </row>
    <row r="21" spans="1:9">
      <c r="A21" s="80">
        <f>סיווג!A26</f>
        <v>13</v>
      </c>
      <c r="B21" s="81" t="str">
        <f>IF(סיווג!B26=0,"",סיווג!B26)</f>
        <v>עכו</v>
      </c>
      <c r="C21" s="339">
        <f>הרצות!G18</f>
        <v>264.875</v>
      </c>
      <c r="D21" s="70">
        <v>1</v>
      </c>
      <c r="E21" s="96">
        <f t="shared" si="0"/>
        <v>264.875</v>
      </c>
      <c r="F21" s="91">
        <f t="shared" si="1"/>
        <v>5.1834942279504574E-2</v>
      </c>
      <c r="H21" s="58">
        <f t="shared" si="2"/>
        <v>1</v>
      </c>
      <c r="I21" s="3"/>
    </row>
    <row r="22" spans="1:9">
      <c r="A22" s="80">
        <f>סיווג!A27</f>
        <v>14</v>
      </c>
      <c r="B22" s="81" t="str">
        <f>IF(סיווג!B27=0,"",סיווג!B27)</f>
        <v>הספרייה</v>
      </c>
      <c r="C22" s="339">
        <f>הרצות!G19</f>
        <v>433.375</v>
      </c>
      <c r="D22" s="70"/>
      <c r="E22" s="96">
        <f t="shared" si="0"/>
        <v>0</v>
      </c>
      <c r="F22" s="91">
        <f t="shared" si="1"/>
        <v>0</v>
      </c>
      <c r="H22" s="58">
        <f t="shared" si="2"/>
        <v>0</v>
      </c>
      <c r="I22" s="3"/>
    </row>
    <row r="23" spans="1:9">
      <c r="A23" s="80">
        <f>סיווג!A28</f>
        <v>15</v>
      </c>
      <c r="B23" s="81" t="str">
        <f>IF(סיווג!B28=0,"",סיווג!B28)</f>
        <v>יפו</v>
      </c>
      <c r="C23" s="339">
        <f>הרצות!G20</f>
        <v>225.15</v>
      </c>
      <c r="D23" s="70"/>
      <c r="E23" s="96">
        <f t="shared" si="0"/>
        <v>0</v>
      </c>
      <c r="F23" s="91">
        <f t="shared" si="1"/>
        <v>0</v>
      </c>
      <c r="H23" s="58">
        <f t="shared" si="2"/>
        <v>0</v>
      </c>
      <c r="I23" s="3"/>
    </row>
    <row r="24" spans="1:9">
      <c r="A24" s="80">
        <f>סיווג!A29</f>
        <v>16</v>
      </c>
      <c r="B24" s="81" t="str">
        <f>IF(סיווג!B29=0,"",סיווג!B29)</f>
        <v/>
      </c>
      <c r="C24" s="339" t="str">
        <f>הרצות!G21</f>
        <v/>
      </c>
      <c r="D24" s="70"/>
      <c r="E24" s="96" t="str">
        <f t="shared" si="0"/>
        <v/>
      </c>
      <c r="F24" s="91" t="str">
        <f t="shared" si="1"/>
        <v/>
      </c>
      <c r="H24" s="58" t="str">
        <f t="shared" si="2"/>
        <v/>
      </c>
      <c r="I24" s="3"/>
    </row>
    <row r="25" spans="1:9">
      <c r="A25" s="80">
        <f>סיווג!A30</f>
        <v>17</v>
      </c>
      <c r="B25" s="81" t="str">
        <f>IF(סיווג!B30=0,"",סיווג!B30)</f>
        <v>אינקובטור</v>
      </c>
      <c r="C25" s="339">
        <f>הרצות!G22</f>
        <v>381.95</v>
      </c>
      <c r="D25" s="70"/>
      <c r="E25" s="96">
        <f t="shared" si="0"/>
        <v>0</v>
      </c>
      <c r="F25" s="91">
        <f t="shared" si="1"/>
        <v>0</v>
      </c>
      <c r="H25" s="58">
        <f t="shared" si="2"/>
        <v>0</v>
      </c>
      <c r="I25" s="3"/>
    </row>
    <row r="26" spans="1:9">
      <c r="A26" s="80">
        <f>סיווג!A31</f>
        <v>18</v>
      </c>
      <c r="B26" s="81" t="str">
        <f>IF(סיווג!B31=0,"",סיווג!B31)</f>
        <v>אורנה פורת</v>
      </c>
      <c r="C26" s="339">
        <f>הרצות!G23</f>
        <v>7328.16</v>
      </c>
      <c r="D26" s="70"/>
      <c r="E26" s="96">
        <f t="shared" si="0"/>
        <v>0</v>
      </c>
      <c r="F26" s="91">
        <f t="shared" si="1"/>
        <v>0</v>
      </c>
      <c r="H26" s="58">
        <f t="shared" si="2"/>
        <v>0</v>
      </c>
      <c r="I26" s="3"/>
    </row>
    <row r="27" spans="1:9">
      <c r="A27" s="80">
        <f>סיווג!A32</f>
        <v>19</v>
      </c>
      <c r="B27" s="81" t="str">
        <f>IF(סיווג!B32=0,"",סיווג!B32)</f>
        <v>ארצי לנוער</v>
      </c>
      <c r="C27" s="339">
        <f>הרצות!G24</f>
        <v>4887.5999999999995</v>
      </c>
      <c r="D27" s="70"/>
      <c r="E27" s="96">
        <f t="shared" si="0"/>
        <v>0</v>
      </c>
      <c r="F27" s="91">
        <f t="shared" si="1"/>
        <v>0</v>
      </c>
      <c r="H27" s="58">
        <f t="shared" si="2"/>
        <v>0</v>
      </c>
    </row>
    <row r="28" spans="1:9">
      <c r="A28" s="80">
        <f>סיווג!A33</f>
        <v>20</v>
      </c>
      <c r="B28" s="81" t="str">
        <f>IF(סיווג!B33=0,"",סיווג!B33)</f>
        <v>הקיבוץ</v>
      </c>
      <c r="C28" s="339">
        <f>הרצות!G25</f>
        <v>577.86</v>
      </c>
      <c r="D28" s="70"/>
      <c r="E28" s="96">
        <f t="shared" si="0"/>
        <v>0</v>
      </c>
      <c r="F28" s="91">
        <f t="shared" si="1"/>
        <v>0</v>
      </c>
      <c r="H28" s="58">
        <f t="shared" si="2"/>
        <v>0</v>
      </c>
    </row>
    <row r="29" spans="1:9">
      <c r="A29" s="80">
        <f>סיווג!A34</f>
        <v>21</v>
      </c>
      <c r="B29" s="81" t="str">
        <f>IF(סיווג!B34=0,"",סיווג!B34)</f>
        <v>הקרון</v>
      </c>
      <c r="C29" s="339">
        <f>הרצות!G26</f>
        <v>892.30000000000007</v>
      </c>
      <c r="D29" s="70"/>
      <c r="E29" s="96">
        <f t="shared" si="0"/>
        <v>0</v>
      </c>
      <c r="F29" s="91">
        <f t="shared" si="1"/>
        <v>0</v>
      </c>
      <c r="H29" s="58">
        <f t="shared" si="2"/>
        <v>0</v>
      </c>
    </row>
    <row r="30" spans="1:9">
      <c r="A30" s="80">
        <f>סיווג!A35</f>
        <v>22</v>
      </c>
      <c r="B30" s="81" t="str">
        <f>IF(סיווג!B35=0,"",סיווג!B35)</f>
        <v>בית הגפן</v>
      </c>
      <c r="C30" s="339">
        <f>הרצות!G27</f>
        <v>310.10000000000002</v>
      </c>
      <c r="D30" s="70">
        <v>1</v>
      </c>
      <c r="E30" s="96">
        <f t="shared" si="0"/>
        <v>310.10000000000002</v>
      </c>
      <c r="F30" s="91">
        <f t="shared" si="1"/>
        <v>6.0685287780554487E-2</v>
      </c>
      <c r="H30" s="58">
        <f t="shared" si="2"/>
        <v>1</v>
      </c>
    </row>
    <row r="31" spans="1:9">
      <c r="A31" s="80">
        <f>סיווג!A36</f>
        <v>23</v>
      </c>
      <c r="B31" s="81" t="str">
        <f>IF(סיווג!B36=0,"",סיווג!B36)</f>
        <v>הנפש</v>
      </c>
      <c r="C31" s="339">
        <f>הרצות!G28</f>
        <v>369.76</v>
      </c>
      <c r="D31" s="70"/>
      <c r="E31" s="96">
        <f t="shared" si="0"/>
        <v>0</v>
      </c>
      <c r="F31" s="91">
        <f t="shared" si="1"/>
        <v>0</v>
      </c>
      <c r="H31" s="58">
        <f t="shared" si="2"/>
        <v>0</v>
      </c>
      <c r="I31" s="20"/>
    </row>
    <row r="32" spans="1:9">
      <c r="A32" s="80">
        <f>סיווג!A37</f>
        <v>24</v>
      </c>
      <c r="B32" s="81" t="str">
        <f>IF(סיווג!B37=0,"",סיווג!B37)</f>
        <v>השעה</v>
      </c>
      <c r="C32" s="339">
        <f>הרצות!G29</f>
        <v>7579.7999999999993</v>
      </c>
      <c r="D32" s="70"/>
      <c r="E32" s="96">
        <f t="shared" si="0"/>
        <v>0</v>
      </c>
      <c r="F32" s="91">
        <f t="shared" si="1"/>
        <v>0</v>
      </c>
      <c r="H32" s="58">
        <f t="shared" si="2"/>
        <v>0</v>
      </c>
    </row>
    <row r="33" spans="1:8">
      <c r="A33" s="80">
        <f>סיווג!A38</f>
        <v>25</v>
      </c>
      <c r="B33" s="81" t="str">
        <f>IF(סיווג!B38=0,"",סיווג!B38)</f>
        <v>עדי</v>
      </c>
      <c r="C33" s="339">
        <f>הרצות!G30</f>
        <v>454.56000000000006</v>
      </c>
      <c r="D33" s="70"/>
      <c r="E33" s="96">
        <f t="shared" si="0"/>
        <v>0</v>
      </c>
      <c r="F33" s="91">
        <f t="shared" si="1"/>
        <v>0</v>
      </c>
      <c r="H33" s="58">
        <f t="shared" si="2"/>
        <v>0</v>
      </c>
    </row>
    <row r="34" spans="1:8">
      <c r="A34" s="80">
        <f>סיווג!A39</f>
        <v>26</v>
      </c>
      <c r="B34" s="81" t="str">
        <f>IF(סיווג!B39=0,"",סיווג!B39)</f>
        <v>מדייטק</v>
      </c>
      <c r="C34" s="339">
        <f>הרצות!G31</f>
        <v>1686.2</v>
      </c>
      <c r="D34" s="70"/>
      <c r="E34" s="96">
        <f t="shared" si="0"/>
        <v>0</v>
      </c>
      <c r="F34" s="91">
        <f t="shared" si="1"/>
        <v>0</v>
      </c>
      <c r="H34" s="58">
        <f t="shared" si="2"/>
        <v>0</v>
      </c>
    </row>
    <row r="35" spans="1:8">
      <c r="A35" s="80">
        <f>סיווג!A40</f>
        <v>27</v>
      </c>
      <c r="B35" s="81" t="str">
        <f>IF(סיווג!B40=0,"",סיווג!B40)</f>
        <v>חני</v>
      </c>
      <c r="C35" s="339">
        <f>הרצות!G32</f>
        <v>236.9</v>
      </c>
      <c r="D35" s="70"/>
      <c r="E35" s="96">
        <f t="shared" si="0"/>
        <v>0</v>
      </c>
      <c r="F35" s="91">
        <f t="shared" si="1"/>
        <v>0</v>
      </c>
      <c r="H35" s="58">
        <f t="shared" si="2"/>
        <v>0</v>
      </c>
    </row>
    <row r="36" spans="1:8">
      <c r="A36" s="80">
        <f>סיווג!A41</f>
        <v>28</v>
      </c>
      <c r="B36" s="81" t="str">
        <f>IF(סיווג!B41=0,"",סיווג!B41)</f>
        <v xml:space="preserve">גשן </v>
      </c>
      <c r="C36" s="339">
        <f>הרצות!G33</f>
        <v>764.96</v>
      </c>
      <c r="D36" s="70"/>
      <c r="E36" s="96">
        <f t="shared" si="0"/>
        <v>0</v>
      </c>
      <c r="F36" s="91">
        <f t="shared" si="1"/>
        <v>0</v>
      </c>
      <c r="H36" s="58">
        <f t="shared" si="2"/>
        <v>0</v>
      </c>
    </row>
    <row r="37" spans="1:8">
      <c r="A37" s="80">
        <f>סיווג!A42</f>
        <v>29</v>
      </c>
      <c r="B37" s="81" t="str">
        <f>IF(סיווג!B42=0,"",סיווג!B42)</f>
        <v>תיאטרון העברי</v>
      </c>
      <c r="C37" s="339">
        <f>הרצות!G34</f>
        <v>356.5</v>
      </c>
      <c r="D37" s="70"/>
      <c r="E37" s="96">
        <f t="shared" si="0"/>
        <v>0</v>
      </c>
      <c r="F37" s="91">
        <f t="shared" si="1"/>
        <v>0</v>
      </c>
      <c r="H37" s="58">
        <f t="shared" si="2"/>
        <v>0</v>
      </c>
    </row>
    <row r="38" spans="1:8">
      <c r="A38" s="80">
        <f>סיווג!A43</f>
        <v>30</v>
      </c>
      <c r="B38" s="81" t="str">
        <f>IF(סיווג!B43=0,"",סיווג!B43)</f>
        <v>גליון ריק 2</v>
      </c>
      <c r="C38" s="339">
        <f>הרצות!G35</f>
        <v>0</v>
      </c>
      <c r="D38" s="70"/>
      <c r="E38" s="96">
        <f t="shared" si="0"/>
        <v>0</v>
      </c>
      <c r="F38" s="91">
        <f t="shared" si="1"/>
        <v>0</v>
      </c>
      <c r="H38" s="58">
        <f t="shared" si="2"/>
        <v>0</v>
      </c>
    </row>
    <row r="39" spans="1:8">
      <c r="A39" s="80">
        <f>סיווג!A44</f>
        <v>31</v>
      </c>
      <c r="B39" s="81" t="str">
        <f>IF(סיווג!B44=0,"",סיווג!B44)</f>
        <v>גליון ריק 3</v>
      </c>
      <c r="C39" s="339">
        <f>הרצות!G36</f>
        <v>0</v>
      </c>
      <c r="D39" s="70"/>
      <c r="E39" s="96">
        <f t="shared" si="0"/>
        <v>0</v>
      </c>
      <c r="F39" s="91">
        <f t="shared" si="1"/>
        <v>0</v>
      </c>
      <c r="H39" s="58">
        <f t="shared" si="2"/>
        <v>0</v>
      </c>
    </row>
    <row r="40" spans="1:8">
      <c r="A40" s="80">
        <f>סיווג!A45</f>
        <v>32</v>
      </c>
      <c r="B40" s="81" t="str">
        <f>IF(סיווג!B45=0,"",סיווג!B45)</f>
        <v/>
      </c>
      <c r="C40" s="339" t="str">
        <f>הרצות!G37</f>
        <v/>
      </c>
      <c r="D40" s="70"/>
      <c r="E40" s="96" t="str">
        <f t="shared" si="0"/>
        <v/>
      </c>
      <c r="F40" s="91" t="str">
        <f t="shared" si="1"/>
        <v/>
      </c>
      <c r="H40" s="58" t="str">
        <f t="shared" si="2"/>
        <v/>
      </c>
    </row>
    <row r="41" spans="1:8" ht="13.5" thickBot="1">
      <c r="A41" s="82">
        <f>סיווג!A46</f>
        <v>33</v>
      </c>
      <c r="B41" s="83" t="str">
        <f>IF(סיווג!B46=0,"",סיווג!B46)</f>
        <v/>
      </c>
      <c r="C41" s="339" t="str">
        <f>הרצות!G38</f>
        <v/>
      </c>
      <c r="D41" s="70"/>
      <c r="E41" s="97" t="str">
        <f t="shared" si="0"/>
        <v/>
      </c>
      <c r="F41" s="91" t="str">
        <f t="shared" si="1"/>
        <v/>
      </c>
      <c r="H41" s="58" t="str">
        <f t="shared" si="2"/>
        <v/>
      </c>
    </row>
    <row r="42" spans="1:8" ht="14.25" thickTop="1" thickBot="1">
      <c r="A42" s="618" t="s">
        <v>26</v>
      </c>
      <c r="B42" s="650"/>
      <c r="C42" s="650"/>
      <c r="D42" s="651"/>
      <c r="E42" s="6">
        <f>SUM(E9:E41)</f>
        <v>5109.97</v>
      </c>
      <c r="F42" s="7">
        <f>SUM(F9:F41)</f>
        <v>1</v>
      </c>
    </row>
    <row r="43" spans="1:8" ht="13.5" thickTop="1"/>
  </sheetData>
  <sheetProtection password="CC01" sheet="1" objects="1" scenarios="1" formatColumns="0" formatRows="0"/>
  <mergeCells count="8">
    <mergeCell ref="A7:F7"/>
    <mergeCell ref="B1:D1"/>
    <mergeCell ref="A42:D42"/>
    <mergeCell ref="B2:C2"/>
    <mergeCell ref="B3:C4"/>
    <mergeCell ref="D3:D4"/>
    <mergeCell ref="B5:C5"/>
    <mergeCell ref="B6:C6"/>
  </mergeCells>
  <phoneticPr fontId="5" type="noConversion"/>
  <conditionalFormatting sqref="D32:D41">
    <cfRule type="cellIs" dxfId="98" priority="2" stopIfTrue="1" operator="notEqual">
      <formula>$H32</formula>
    </cfRule>
  </conditionalFormatting>
  <conditionalFormatting sqref="D9:D31">
    <cfRule type="cellIs" dxfId="97" priority="1" stopIfTrue="1" operator="notEqual">
      <formula>$H9</formula>
    </cfRule>
  </conditionalFormatting>
  <dataValidations count="1">
    <dataValidation type="list" errorStyle="warning" allowBlank="1" showInputMessage="1" showErrorMessage="1" errorTitle="טעות בהזנה" error="יש להזין 1 עבור תיאטרון העומד בנדרש או 0 עבור תיאטרון שאינו עומד בנדרש" sqref="D9:D41">
      <formula1>"0,1"</formula1>
    </dataValidation>
  </dataValidations>
  <printOptions horizontalCentered="1"/>
  <pageMargins left="0.19685039370078741" right="0.19685039370078741" top="0.78740157480314965" bottom="0.59055118110236227" header="0.19685039370078741" footer="0.19685039370078741"/>
  <pageSetup paperSize="9" orientation="portrait" r:id="rId1"/>
  <headerFooter alignWithMargins="0">
    <oddHeader>&amp;L
&amp;C&amp;12מבחנים לחלוקת כספי תמיכות של משרד המדע התרבות והספורט למוסדות ציבור לפי חוק יסודות התקציב, התשמ"ה  - 1985
&amp;Uתמיכה במוסדות תרבות בתחום התיאטרון</oddHeader>
    <oddFooter>&amp;Cעמוד &amp;P מתוך &amp;N&amp;R&amp;A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23</vt:i4>
      </vt:variant>
      <vt:variant>
        <vt:lpstr>טווחים בעלי שם</vt:lpstr>
      </vt:variant>
      <vt:variant>
        <vt:i4>24</vt:i4>
      </vt:variant>
    </vt:vector>
  </HeadingPairs>
  <TitlesOfParts>
    <vt:vector size="47" baseType="lpstr">
      <vt:lpstr>ProtectSettings</vt:lpstr>
      <vt:lpstr>פרמטרים</vt:lpstr>
      <vt:lpstr>סיווג</vt:lpstr>
      <vt:lpstr>הפקות</vt:lpstr>
      <vt:lpstr>הרצות</vt:lpstr>
      <vt:lpstr>מיקום התיאטרון</vt:lpstr>
      <vt:lpstr>מיקום ההרצות</vt:lpstr>
      <vt:lpstr>וותק</vt:lpstr>
      <vt:lpstr>ייחוד תרבותי</vt:lpstr>
      <vt:lpstr>רפרטואר</vt:lpstr>
      <vt:lpstr>מורכבות הפקות</vt:lpstr>
      <vt:lpstr>עידוד יוצרים</vt:lpstr>
      <vt:lpstr>תרומה לקהילה</vt:lpstr>
      <vt:lpstr>פרינג</vt:lpstr>
      <vt:lpstr>התחשיב הבסיסי</vt:lpstr>
      <vt:lpstr>תמיכה ציבורית אחרת</vt:lpstr>
      <vt:lpstr>ייצוב</vt:lpstr>
      <vt:lpstr>הגנה</vt:lpstr>
      <vt:lpstr>חריגות שכר</vt:lpstr>
      <vt:lpstr>גירעון</vt:lpstr>
      <vt:lpstr>הגנה (2)</vt:lpstr>
      <vt:lpstr>הרכב חברי הוועדה</vt:lpstr>
      <vt:lpstr>סיכום</vt:lpstr>
      <vt:lpstr>גירעון!WPrint_Area_W</vt:lpstr>
      <vt:lpstr>הגנה!WPrint_Area_W</vt:lpstr>
      <vt:lpstr>'הגנה (2)'!WPrint_Area_W</vt:lpstr>
      <vt:lpstr>הפקות!WPrint_Area_W</vt:lpstr>
      <vt:lpstr>'הרכב חברי הוועדה'!WPrint_Area_W</vt:lpstr>
      <vt:lpstr>הרצות!WPrint_Area_W</vt:lpstr>
      <vt:lpstr>'התחשיב הבסיסי'!WPrint_Area_W</vt:lpstr>
      <vt:lpstr>וותק!WPrint_Area_W</vt:lpstr>
      <vt:lpstr>'חריגות שכר'!WPrint_Area_W</vt:lpstr>
      <vt:lpstr>'ייחוד תרבותי'!WPrint_Area_W</vt:lpstr>
      <vt:lpstr>ייצוב!WPrint_Area_W</vt:lpstr>
      <vt:lpstr>'מורכבות הפקות'!WPrint_Area_W</vt:lpstr>
      <vt:lpstr>'מיקום ההרצות'!WPrint_Area_W</vt:lpstr>
      <vt:lpstr>'מיקום התיאטרון'!WPrint_Area_W</vt:lpstr>
      <vt:lpstr>סיווג!WPrint_Area_W</vt:lpstr>
      <vt:lpstr>סיכום!WPrint_Area_W</vt:lpstr>
      <vt:lpstr>'עידוד יוצרים'!WPrint_Area_W</vt:lpstr>
      <vt:lpstr>פרינג!WPrint_Area_W</vt:lpstr>
      <vt:lpstr>פרמטרים!WPrint_Area_W</vt:lpstr>
      <vt:lpstr>רפרטואר!WPrint_Area_W</vt:lpstr>
      <vt:lpstr>'תמיכה ציבורית אחרת'!WPrint_Area_W</vt:lpstr>
      <vt:lpstr>'תרומה לקהילה'!WPrint_Area_W</vt:lpstr>
      <vt:lpstr>'הגנה (2)'!WPrint_TitlesW</vt:lpstr>
      <vt:lpstr>'הרכב חברי הוועדה'!WPrint_TitlesW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רייזי קופילוביץ</dc:creator>
  <cp:lastModifiedBy>Calanit Shamir</cp:lastModifiedBy>
  <cp:lastPrinted>2018-03-12T10:49:39Z</cp:lastPrinted>
  <dcterms:created xsi:type="dcterms:W3CDTF">2013-05-06T05:44:52Z</dcterms:created>
  <dcterms:modified xsi:type="dcterms:W3CDTF">2018-11-07T09:31:46Z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rmulaDeskUniqueName">
    <vt:lpwstr>e4c7563a-b9df-49e2-825e-baf45df5aca2</vt:lpwstr>
  </property>
</Properties>
</file>